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456"/>
  </bookViews>
  <sheets>
    <sheet name="data-Vyplní jednotka !" sheetId="7" r:id="rId1"/>
    <sheet name="el. vyplnění" sheetId="6" r:id="rId2"/>
    <sheet name="VZOR" sheetId="5" r:id="rId3"/>
  </sheets>
  <definedNames>
    <definedName name="amos1" localSheetId="1">'data-Vyplní jednotka !'!$H$14</definedName>
    <definedName name="amos1">#REF!</definedName>
    <definedName name="amos2" localSheetId="1">'data-Vyplní jednotka !'!$H$15</definedName>
    <definedName name="amos2">#REF!</definedName>
    <definedName name="amos3" localSheetId="1">'data-Vyplní jednotka !'!$H$16</definedName>
    <definedName name="amos3">#REF!</definedName>
    <definedName name="_xlnm.Print_Area" localSheetId="1">'el. vyplnění'!$A$2:$M$73</definedName>
    <definedName name="_xlnm.Print_Area" localSheetId="2">VZOR!$A$3:$L$72</definedName>
    <definedName name="zamamor" localSheetId="1">'data-Vyplní jednotka !'!#REF!</definedName>
    <definedName name="zamamor">#REF!</definedName>
  </definedNames>
  <calcPr calcId="145621"/>
</workbook>
</file>

<file path=xl/calcChain.xml><?xml version="1.0" encoding="utf-8"?>
<calcChain xmlns="http://schemas.openxmlformats.org/spreadsheetml/2006/main">
  <c r="M36" i="6" l="1"/>
  <c r="K19" i="6"/>
  <c r="L35" i="6"/>
  <c r="K35" i="6"/>
  <c r="J35" i="6"/>
  <c r="AA6" i="7" l="1"/>
  <c r="G38" i="5"/>
  <c r="W43" i="5" s="1"/>
  <c r="W39" i="5"/>
  <c r="W57" i="5"/>
  <c r="X57" i="5"/>
  <c r="L36" i="5"/>
  <c r="Y57" i="5"/>
  <c r="Z57" i="5"/>
  <c r="AA57" i="5"/>
  <c r="U41" i="5"/>
  <c r="W36" i="5"/>
  <c r="W58" i="5"/>
  <c r="AA58" i="5" s="1"/>
  <c r="X58" i="5"/>
  <c r="U43" i="5"/>
  <c r="W59" i="5"/>
  <c r="AA59" i="5" s="1"/>
  <c r="X59" i="5"/>
  <c r="U45" i="5"/>
  <c r="W60" i="5"/>
  <c r="X60" i="5"/>
  <c r="AA60" i="5"/>
  <c r="V47" i="5"/>
  <c r="W61" i="5"/>
  <c r="AA61" i="5" s="1"/>
  <c r="X61" i="5"/>
  <c r="V49" i="5"/>
  <c r="W62" i="5"/>
  <c r="AA62" i="5" s="1"/>
  <c r="X62" i="5"/>
  <c r="W63" i="5"/>
  <c r="AA63" i="5" s="1"/>
  <c r="X63" i="5"/>
  <c r="W64" i="5"/>
  <c r="X64" i="5"/>
  <c r="AA64" i="5"/>
  <c r="C3" i="6"/>
  <c r="C5" i="6"/>
  <c r="C4" i="6"/>
  <c r="X8" i="7"/>
  <c r="W10" i="7"/>
  <c r="B49" i="6"/>
  <c r="Z27" i="7"/>
  <c r="Y27" i="7"/>
  <c r="G38" i="6"/>
  <c r="AA27" i="7" s="1"/>
  <c r="Z13" i="7"/>
  <c r="AA13" i="7"/>
  <c r="AC13" i="7"/>
  <c r="M40" i="6"/>
  <c r="M42" i="6"/>
  <c r="M44" i="6"/>
  <c r="M46" i="6"/>
  <c r="M48" i="6"/>
  <c r="M50" i="6"/>
  <c r="M52" i="6"/>
  <c r="M54" i="6"/>
  <c r="Z29" i="7"/>
  <c r="AA29" i="7"/>
  <c r="Z14" i="7"/>
  <c r="AA14" i="7"/>
  <c r="Z31" i="7"/>
  <c r="AA31" i="7"/>
  <c r="Z15" i="7"/>
  <c r="AA15" i="7"/>
  <c r="Z33" i="7"/>
  <c r="AA33" i="7"/>
  <c r="Z16" i="7"/>
  <c r="AA16" i="7"/>
  <c r="Z35" i="7"/>
  <c r="AA35" i="7"/>
  <c r="Z17" i="7"/>
  <c r="AA17" i="7"/>
  <c r="Z37" i="7"/>
  <c r="AA37" i="7"/>
  <c r="Z18" i="7"/>
  <c r="AA18" i="7"/>
  <c r="Z39" i="7"/>
  <c r="AA39" i="7"/>
  <c r="Z19" i="7"/>
  <c r="AA19" i="7"/>
  <c r="Z41" i="7"/>
  <c r="AA41" i="7"/>
  <c r="Z20" i="7"/>
  <c r="AA20" i="7"/>
  <c r="X42" i="7"/>
  <c r="Y41" i="7"/>
  <c r="X40" i="7"/>
  <c r="Y39" i="7"/>
  <c r="X38" i="7"/>
  <c r="Y37" i="7"/>
  <c r="X36" i="7"/>
  <c r="Y35" i="7"/>
  <c r="X34" i="7"/>
  <c r="Y33" i="7"/>
  <c r="X32" i="7"/>
  <c r="Y31" i="7"/>
  <c r="X30" i="7"/>
  <c r="Y29" i="7"/>
  <c r="X28" i="7"/>
  <c r="B43" i="6"/>
  <c r="A43" i="6"/>
  <c r="B40" i="6"/>
  <c r="A40" i="6"/>
  <c r="J34" i="6"/>
  <c r="D34" i="6"/>
  <c r="E34" i="6"/>
  <c r="B34" i="6"/>
  <c r="J31" i="6"/>
  <c r="J30" i="6"/>
  <c r="J24" i="6"/>
  <c r="J23" i="6"/>
  <c r="K18" i="6"/>
  <c r="E18" i="6"/>
  <c r="AC55" i="5"/>
  <c r="T54" i="5"/>
  <c r="L54" i="5"/>
  <c r="U53" i="5"/>
  <c r="T52" i="5"/>
  <c r="U51" i="5"/>
  <c r="L52" i="5"/>
  <c r="T50" i="5"/>
  <c r="U49" i="5"/>
  <c r="L50" i="5"/>
  <c r="T48" i="5"/>
  <c r="L48" i="5"/>
  <c r="U47" i="5"/>
  <c r="T46" i="5"/>
  <c r="T44" i="5"/>
  <c r="B44" i="5"/>
  <c r="A44" i="5"/>
  <c r="T42" i="5"/>
  <c r="T40" i="5"/>
  <c r="B40" i="5"/>
  <c r="A40" i="5"/>
  <c r="AA34" i="5"/>
  <c r="U39" i="5"/>
  <c r="U34" i="5"/>
  <c r="I34" i="5"/>
  <c r="D34" i="5"/>
  <c r="E34" i="5"/>
  <c r="B34" i="5"/>
  <c r="AB32" i="5"/>
  <c r="Z53" i="5" s="1"/>
  <c r="Z48" i="5"/>
  <c r="AA48" i="5" s="1"/>
  <c r="I31" i="5"/>
  <c r="I30" i="5"/>
  <c r="AB29" i="5"/>
  <c r="Z33" i="5"/>
  <c r="U29" i="5"/>
  <c r="I24" i="5"/>
  <c r="I23" i="5"/>
  <c r="J18" i="5"/>
  <c r="E18" i="5"/>
  <c r="Z49" i="5"/>
  <c r="AB49" i="5" s="1"/>
  <c r="AD49" i="5" s="1"/>
  <c r="AE49" i="5" s="1"/>
  <c r="Z40" i="5"/>
  <c r="AB40" i="5" s="1"/>
  <c r="AD40" i="5" s="1"/>
  <c r="AC51" i="5"/>
  <c r="AC37" i="5"/>
  <c r="AC41" i="5"/>
  <c r="AC45" i="5"/>
  <c r="AC34" i="5"/>
  <c r="AC38" i="5"/>
  <c r="AC42" i="5"/>
  <c r="AC46" i="5"/>
  <c r="AC52" i="5"/>
  <c r="A48" i="5"/>
  <c r="AB48" i="5"/>
  <c r="AD48" i="5" s="1"/>
  <c r="AC39" i="5"/>
  <c r="Z41" i="5"/>
  <c r="AA41" i="5" s="1"/>
  <c r="AC43" i="5"/>
  <c r="Z46" i="5"/>
  <c r="AA46" i="5" s="1"/>
  <c r="AC47" i="5"/>
  <c r="AA49" i="5"/>
  <c r="AC53" i="5"/>
  <c r="AC54" i="5"/>
  <c r="AC35" i="5"/>
  <c r="AC36" i="5"/>
  <c r="Z39" i="5"/>
  <c r="AA39" i="5" s="1"/>
  <c r="AC48" i="5"/>
  <c r="AE48" i="5" s="1"/>
  <c r="Z54" i="5"/>
  <c r="AB54" i="5" s="1"/>
  <c r="AD54" i="5" s="1"/>
  <c r="AE54" i="5" s="1"/>
  <c r="Z35" i="5"/>
  <c r="AC40" i="5"/>
  <c r="AC44" i="5"/>
  <c r="AC49" i="5"/>
  <c r="AC50" i="5"/>
  <c r="AB46" i="5"/>
  <c r="AD46" i="5" s="1"/>
  <c r="AE46" i="5" s="1"/>
  <c r="AA35" i="5"/>
  <c r="AB39" i="5"/>
  <c r="AD39" i="5" s="1"/>
  <c r="AE39" i="5" s="1"/>
  <c r="AA8" i="7" l="1"/>
  <c r="AA7" i="7"/>
  <c r="B35" i="6" s="1"/>
  <c r="X7" i="7"/>
  <c r="A48" i="6" s="1"/>
  <c r="AB13" i="7"/>
  <c r="AD20" i="7" s="1"/>
  <c r="X20" i="7" s="1"/>
  <c r="X23" i="7"/>
  <c r="M56" i="6" s="1"/>
  <c r="M58" i="6" s="1"/>
  <c r="AA53" i="5"/>
  <c r="AB53" i="5"/>
  <c r="AD53" i="5" s="1"/>
  <c r="AE53" i="5" s="1"/>
  <c r="U61" i="5"/>
  <c r="AE40" i="5"/>
  <c r="Z45" i="5"/>
  <c r="W53" i="5"/>
  <c r="W45" i="5"/>
  <c r="AB34" i="5"/>
  <c r="AD34" i="5" s="1"/>
  <c r="AE34" i="5" s="1"/>
  <c r="AA54" i="5"/>
  <c r="Z47" i="5"/>
  <c r="Z52" i="5"/>
  <c r="Z37" i="5"/>
  <c r="V53" i="5"/>
  <c r="V43" i="5"/>
  <c r="U59" i="5" s="1"/>
  <c r="L44" i="5" s="1"/>
  <c r="V41" i="5"/>
  <c r="AA40" i="5"/>
  <c r="Z38" i="5"/>
  <c r="Z50" i="5"/>
  <c r="Z55" i="5"/>
  <c r="AB41" i="5"/>
  <c r="AD41" i="5" s="1"/>
  <c r="AE41" i="5" s="1"/>
  <c r="Z43" i="5"/>
  <c r="Z51" i="5"/>
  <c r="Z42" i="5"/>
  <c r="W47" i="5"/>
  <c r="V45" i="5"/>
  <c r="U60" i="5" s="1"/>
  <c r="L46" i="5" s="1"/>
  <c r="V39" i="5"/>
  <c r="U57" i="5" s="1"/>
  <c r="Z36" i="5"/>
  <c r="AB35" i="5" s="1"/>
  <c r="AD35" i="5" s="1"/>
  <c r="AE35" i="5" s="1"/>
  <c r="Z44" i="5"/>
  <c r="W49" i="5"/>
  <c r="U62" i="5" s="1"/>
  <c r="W51" i="5"/>
  <c r="W41" i="5"/>
  <c r="V51" i="5"/>
  <c r="U63" i="5" s="1"/>
  <c r="AD17" i="7" l="1"/>
  <c r="X17" i="7" s="1"/>
  <c r="AD18" i="7"/>
  <c r="X18" i="7" s="1"/>
  <c r="AD16" i="7"/>
  <c r="X16" i="7" s="1"/>
  <c r="AD19" i="7"/>
  <c r="X19" i="7" s="1"/>
  <c r="AD13" i="7"/>
  <c r="X13" i="7" s="1"/>
  <c r="AD14" i="7"/>
  <c r="X14" i="7" s="1"/>
  <c r="AD15" i="7"/>
  <c r="X15" i="7" s="1"/>
  <c r="AB50" i="5"/>
  <c r="AD50" i="5" s="1"/>
  <c r="AE50" i="5" s="1"/>
  <c r="AA50" i="5"/>
  <c r="L40" i="5"/>
  <c r="AA38" i="5"/>
  <c r="AB38" i="5"/>
  <c r="AD38" i="5" s="1"/>
  <c r="AE38" i="5" s="1"/>
  <c r="AA42" i="5"/>
  <c r="AB42" i="5"/>
  <c r="AD42" i="5" s="1"/>
  <c r="AE42" i="5" s="1"/>
  <c r="U58" i="5"/>
  <c r="L42" i="5" s="1"/>
  <c r="AA47" i="5"/>
  <c r="AB47" i="5"/>
  <c r="AD47" i="5" s="1"/>
  <c r="AE47" i="5" s="1"/>
  <c r="AA51" i="5"/>
  <c r="AB51" i="5"/>
  <c r="AD51" i="5" s="1"/>
  <c r="AE51" i="5" s="1"/>
  <c r="AA43" i="5"/>
  <c r="AB43" i="5"/>
  <c r="AD43" i="5" s="1"/>
  <c r="AE43" i="5" s="1"/>
  <c r="U64" i="5"/>
  <c r="U65" i="5" s="1"/>
  <c r="L56" i="5" s="1"/>
  <c r="L58" i="5" s="1"/>
  <c r="AB44" i="5"/>
  <c r="AD44" i="5" s="1"/>
  <c r="AE44" i="5" s="1"/>
  <c r="AA44" i="5"/>
  <c r="AA37" i="5"/>
  <c r="AB37" i="5"/>
  <c r="AD37" i="5" s="1"/>
  <c r="AE37" i="5" s="1"/>
  <c r="AA45" i="5"/>
  <c r="AB45" i="5"/>
  <c r="AD45" i="5" s="1"/>
  <c r="AE45" i="5" s="1"/>
  <c r="AA36" i="5"/>
  <c r="AB36" i="5"/>
  <c r="AD36" i="5" s="1"/>
  <c r="AE36" i="5" s="1"/>
  <c r="AB55" i="5"/>
  <c r="AD55" i="5" s="1"/>
  <c r="AE55" i="5" s="1"/>
  <c r="AA55" i="5"/>
  <c r="AB52" i="5"/>
  <c r="AD52" i="5" s="1"/>
  <c r="AE52" i="5" s="1"/>
  <c r="AA52" i="5"/>
  <c r="X21" i="7" l="1"/>
</calcChain>
</file>

<file path=xl/comments1.xml><?xml version="1.0" encoding="utf-8"?>
<comments xmlns="http://schemas.openxmlformats.org/spreadsheetml/2006/main">
  <authors>
    <author>Katerina Musilova</author>
    <author>katerina.musilova</author>
  </authors>
  <commentList>
    <comment ref="F13" author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VYPLŇ POUZE, KDYŽ NEMÁŠ DOKLAD!!
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40" authorId="1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</commentList>
</comments>
</file>

<file path=xl/comments2.xml><?xml version="1.0" encoding="utf-8"?>
<comments xmlns="http://schemas.openxmlformats.org/spreadsheetml/2006/main">
  <authors>
    <author>katerina.musilova</author>
  </authors>
  <commentLis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pro správné počítání je třeba zapsat druh paliva přesně
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  <comment ref="A56" authorId="0">
      <text>
        <r>
          <rPr>
            <sz val="9"/>
            <color indexed="81"/>
            <rFont val="Tahoma"/>
            <family val="2"/>
            <charset val="238"/>
          </rPr>
          <t>ANO či NE uveďte vedle data (na velikosti písma nezáleží)</t>
        </r>
      </text>
    </comment>
  </commentList>
</comments>
</file>

<file path=xl/sharedStrings.xml><?xml version="1.0" encoding="utf-8"?>
<sst xmlns="http://schemas.openxmlformats.org/spreadsheetml/2006/main" count="220" uniqueCount="131">
  <si>
    <t>Příjmení, jméno:</t>
  </si>
  <si>
    <t>Bydliště:</t>
  </si>
  <si>
    <t>ulice,číslo, PSČ  okres</t>
  </si>
  <si>
    <t>Telefon:</t>
  </si>
  <si>
    <t>Účel cesty:</t>
  </si>
  <si>
    <t>Datum trvání cesty:</t>
  </si>
  <si>
    <t>od</t>
  </si>
  <si>
    <t>do</t>
  </si>
  <si>
    <t>Místo konání:</t>
  </si>
  <si>
    <t>Spolucestující:</t>
  </si>
  <si>
    <t>Doprava AUTO</t>
  </si>
  <si>
    <t>Datum a podpis pracovníka oprávněného k povolení cesty:</t>
  </si>
  <si>
    <t>……………………………………………………………….</t>
  </si>
  <si>
    <t>Vyúčtování pracovní cesty</t>
  </si>
  <si>
    <t>Se způsobem provedení souhlasí</t>
  </si>
  <si>
    <t>…………………………………………………….…</t>
  </si>
  <si>
    <t>Datum a podpis oprávněného pracovníka</t>
  </si>
  <si>
    <t>amortizace</t>
  </si>
  <si>
    <t>cestovné</t>
  </si>
  <si>
    <t>cena 1Km</t>
  </si>
  <si>
    <t>Cesta</t>
  </si>
  <si>
    <t>Datum</t>
  </si>
  <si>
    <t>čas odjezdu</t>
  </si>
  <si>
    <t>odkud</t>
  </si>
  <si>
    <t>ubytování/</t>
  </si>
  <si>
    <t>vedlejší</t>
  </si>
  <si>
    <t>celkem</t>
  </si>
  <si>
    <t>amor/čin</t>
  </si>
  <si>
    <t>amor/zam</t>
  </si>
  <si>
    <t>5-12</t>
  </si>
  <si>
    <t>12-18</t>
  </si>
  <si>
    <t>18-24</t>
  </si>
  <si>
    <t>čas příjezdu</t>
  </si>
  <si>
    <t>kam</t>
  </si>
  <si>
    <t>účast.popl.</t>
  </si>
  <si>
    <t>výdaje</t>
  </si>
  <si>
    <t>jízdné</t>
  </si>
  <si>
    <t>auto</t>
  </si>
  <si>
    <t>Počátek cesty</t>
  </si>
  <si>
    <t>datum</t>
  </si>
  <si>
    <t>čas</t>
  </si>
  <si>
    <t>Konec cesty</t>
  </si>
  <si>
    <t>CELKEM</t>
  </si>
  <si>
    <t>Čerpaná záloha</t>
  </si>
  <si>
    <t>Počet přiložených dokladů</t>
  </si>
  <si>
    <t>PROPLATIT</t>
  </si>
  <si>
    <t>konec</t>
  </si>
  <si>
    <t>Prohlašuji, že jsem všechny údaje uvedl/a úplně a pravdivě:</t>
  </si>
  <si>
    <t>Datum a podpis účtovatele</t>
  </si>
  <si>
    <t>nafta</t>
  </si>
  <si>
    <t>natural</t>
  </si>
  <si>
    <t xml:space="preserve">stravné </t>
  </si>
  <si>
    <t>koef</t>
  </si>
  <si>
    <t>částka</t>
  </si>
  <si>
    <t>nárok</t>
  </si>
  <si>
    <t>proplatit</t>
  </si>
  <si>
    <t>Celkem</t>
  </si>
  <si>
    <t>náhrada</t>
  </si>
  <si>
    <t>Náhrada / 1Km bez amortizace</t>
  </si>
  <si>
    <t>osoby</t>
  </si>
  <si>
    <t>spotřeba</t>
  </si>
  <si>
    <t>phm</t>
  </si>
  <si>
    <t>č. účtu:</t>
  </si>
  <si>
    <t>Cestová Nikola</t>
  </si>
  <si>
    <t>V zatáčce 25, 10000 Praha 10</t>
  </si>
  <si>
    <t>123456789/1111</t>
  </si>
  <si>
    <t>Pořádání výstavy</t>
  </si>
  <si>
    <t>Křídla</t>
  </si>
  <si>
    <t>Bohumil Výprava</t>
  </si>
  <si>
    <t>škoda Favorit</t>
  </si>
  <si>
    <t>AAA 1111</t>
  </si>
  <si>
    <t>VZOR!!</t>
  </si>
  <si>
    <t>Proč byla cesta podniknuta</t>
  </si>
  <si>
    <t>Všichni, kteří jeli na společnou jízdenku či v jednom vozidle</t>
  </si>
  <si>
    <t>Aš</t>
  </si>
  <si>
    <t>Nedašova Lhota</t>
  </si>
  <si>
    <t>Podpis osoby, na kterou je cestovní příkaz napsaný.</t>
  </si>
  <si>
    <t>Prosím, při odemčení může dojít k přepsání vzorců a špatnému počítání formuláře. Pokud nedojde k automatickému vyplnění, je nejspíš někde něco chybně zapsáno či nějaký údaj chybí.</t>
  </si>
  <si>
    <t>E-mail:</t>
  </si>
  <si>
    <t>Jízdné</t>
  </si>
  <si>
    <t>platné</t>
  </si>
  <si>
    <t>norma</t>
  </si>
  <si>
    <t>80/1268/EHS</t>
  </si>
  <si>
    <t>93/116/ES</t>
  </si>
  <si>
    <t>1999/100/ES</t>
  </si>
  <si>
    <t>2004/3/ES</t>
  </si>
  <si>
    <t>EU/692/2008</t>
  </si>
  <si>
    <t>EU/566/2011</t>
  </si>
  <si>
    <t>JINÉ</t>
  </si>
  <si>
    <t>natural 95</t>
  </si>
  <si>
    <t>K cestovnímu příkazu je třeba přiložit jízdenky, u cesty se Student Agency i s vytištěným daňovým dokladem. Při jízdě autem přiložit kopii techničáku nejlépe s SPZ a vyznačenou spotřebou.</t>
  </si>
  <si>
    <t>vlek</t>
  </si>
  <si>
    <t>Cestovní příkaz</t>
  </si>
  <si>
    <t>Akce:</t>
  </si>
  <si>
    <t>Junák - český skaut,</t>
  </si>
  <si>
    <t>, z. s.</t>
  </si>
  <si>
    <t>průměr PHM dle vyhlášky</t>
  </si>
  <si>
    <t>rok</t>
  </si>
  <si>
    <t>příplatek za vozík (až 15% z amortizace)</t>
  </si>
  <si>
    <t>výše</t>
  </si>
  <si>
    <t>vlek +%</t>
  </si>
  <si>
    <t>komb. Spotřeba</t>
  </si>
  <si>
    <t>Výpočty</t>
  </si>
  <si>
    <t>Jednotka</t>
  </si>
  <si>
    <t>Název</t>
  </si>
  <si>
    <t>Sídlo</t>
  </si>
  <si>
    <t>IČ:</t>
  </si>
  <si>
    <t>vyplň pouze název jednotky bez Junák a z.s.</t>
  </si>
  <si>
    <t>záleží na rozhodnutí jednotky!</t>
  </si>
  <si>
    <t>Průměr dle vyhlášky je znám vždy na začátku roku a je třeba jej vyhledat na netu.</t>
  </si>
  <si>
    <r>
      <t>vypiš hodnotu</t>
    </r>
    <r>
      <rPr>
        <b/>
        <sz val="12"/>
        <color rgb="FF00B050"/>
        <rFont val="Arial CE"/>
        <charset val="238"/>
      </rPr>
      <t xml:space="preserve"> 0 - 15</t>
    </r>
  </si>
  <si>
    <r>
      <t xml:space="preserve">např. </t>
    </r>
    <r>
      <rPr>
        <b/>
        <sz val="12"/>
        <color rgb="FF00B050"/>
        <rFont val="Arial CE"/>
        <charset val="238"/>
      </rPr>
      <t>středisko Pětka Rybníčky</t>
    </r>
  </si>
  <si>
    <r>
      <t xml:space="preserve">Výši náhrady za PHM je možné spočítat i dle přiloženého dokladu - zapíše se hodnota přímo v cesťáku. Ten musí být z období 3 měsíce před cestou a max 1 měsíc po cestě - </t>
    </r>
    <r>
      <rPr>
        <sz val="10"/>
        <color rgb="FF00B050"/>
        <rFont val="Arial CE"/>
        <charset val="238"/>
      </rPr>
      <t xml:space="preserve">dle Směrnice 201608 </t>
    </r>
  </si>
  <si>
    <t xml:space="preserve">Vypňte příjmení, jméno </t>
  </si>
  <si>
    <r>
      <t xml:space="preserve">dopravní prostředek-u auta i typ a SPZ. Pokud je u auta NE, pak druh dopravního prostředku (vlak, bus…)   </t>
    </r>
    <r>
      <rPr>
        <b/>
        <sz val="12"/>
        <color rgb="FFFF0000"/>
        <rFont val="Arial CE"/>
        <charset val="238"/>
      </rPr>
      <t xml:space="preserve"> norma</t>
    </r>
    <r>
      <rPr>
        <b/>
        <sz val="12"/>
        <rFont val="Arial CE"/>
        <charset val="238"/>
      </rPr>
      <t xml:space="preserve"> je uvedena v techničáku (většinou nad spotřebou)a udává, jak počítat průměrnou spotřebu</t>
    </r>
  </si>
  <si>
    <t>Cestovné je možné proplácet i na účet.</t>
  </si>
  <si>
    <r>
      <t xml:space="preserve">Datum z </t>
    </r>
    <r>
      <rPr>
        <b/>
        <sz val="12"/>
        <color rgb="FFFF0000"/>
        <rFont val="Arial CE"/>
        <charset val="238"/>
      </rPr>
      <t>před cesty</t>
    </r>
    <r>
      <rPr>
        <b/>
        <sz val="12"/>
        <rFont val="Arial CE"/>
        <charset val="238"/>
      </rPr>
      <t xml:space="preserve"> a podpis toho, kdo rozhoduje o vyplacení - vůdce akce, statutár jednotky... </t>
    </r>
  </si>
  <si>
    <t>Datum po odevzdání vyúčtování a podpis opět toho kdo má právo schválit proplacení</t>
  </si>
  <si>
    <r>
      <t xml:space="preserve">Cena PHM dle dokladu s datem 3 měsíce před cestou či max 1 měsíc po cestě. Pokud se políčko nevyplní, objeví se poznámka </t>
    </r>
    <r>
      <rPr>
        <b/>
        <sz val="12"/>
        <color rgb="FFC00000"/>
        <rFont val="Arial CE"/>
        <charset val="238"/>
      </rPr>
      <t>"Nemám doklad"</t>
    </r>
    <r>
      <rPr>
        <b/>
        <sz val="12"/>
        <rFont val="Arial CE"/>
        <charset val="238"/>
      </rPr>
      <t xml:space="preserve">. Pak stačí vyplnit druh PHM. Formulář automaticky použije průměr cen na daný rok dle zákoníku práce. Je tedy jen třeba mít </t>
    </r>
    <r>
      <rPr>
        <b/>
        <sz val="12"/>
        <color rgb="FFC00000"/>
        <rFont val="Arial CE"/>
        <charset val="238"/>
      </rPr>
      <t>aktualizovanou záložku data</t>
    </r>
    <r>
      <rPr>
        <b/>
        <sz val="12"/>
        <rFont val="Arial CE"/>
        <charset val="238"/>
      </rPr>
      <t xml:space="preserve">! </t>
    </r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</si>
  <si>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Čas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</si>
  <si>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Částka která byla poskytnuta na cestu předem - hotovost či posláno na účet, nebo cena jízdného, které bylo hrazeno jednotkou.</t>
  </si>
  <si>
    <t>ZÁLOHA JE:</t>
  </si>
  <si>
    <t>Zde zaokrouhleno. Je možné vzorec upravit, aby se zaokrouhlovalo nahoru či na 2 desetinná místa nebo jinak</t>
  </si>
  <si>
    <t>Tábor  Štěňata 17</t>
  </si>
  <si>
    <r>
      <t xml:space="preserve">VYPLŇUJ POUZE HNĚDÁ POLE! 
Pokud někde něco nepočítá, většinou chybí nějaký údaj.
</t>
    </r>
    <r>
      <rPr>
        <b/>
        <sz val="11"/>
        <color theme="9" tint="-0.499984740745262"/>
        <rFont val="Arial CE"/>
        <charset val="238"/>
      </rPr>
      <t xml:space="preserve">Tisk pro excel je nastaven na jednu stránku a černobíle. U ostatní programů  je třeba nejdřív nastavení tisku zkontrolovat a popř. upravit. 
</t>
    </r>
    <r>
      <rPr>
        <b/>
        <sz val="12"/>
        <color theme="6" tint="-0.499984740745262"/>
        <rFont val="Arial CE"/>
        <charset val="238"/>
      </rPr>
      <t>Tiskni bez této žluté hlavičky!</t>
    </r>
  </si>
  <si>
    <t>ne</t>
  </si>
  <si>
    <t>……………………………………………………………………</t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</si>
  <si>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</t>
    </r>
    <r>
      <rPr>
        <b/>
        <sz val="12"/>
        <color rgb="FFFFFF00"/>
        <rFont val="Arial CE"/>
        <charset val="238"/>
      </rPr>
      <t>Čas</t>
    </r>
    <r>
      <rPr>
        <b/>
        <sz val="12"/>
        <rFont val="Arial CE"/>
        <charset val="238"/>
      </rPr>
      <t xml:space="preserve">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</si>
  <si>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NEJDŘÍVE JE TŘEBA VYPLNIT TATO DATA - VYPLŇUJ POUZE HNĚDÁ POLE. 
Poté je možné dát cesťák k vyplnění jednotlivým činovníkům.
 Doporučujeme data uzamknout před poskytnutím formuláře.</t>
  </si>
  <si>
    <r>
      <t xml:space="preserve">K cestovnímu příkazu je třeba přiložit i </t>
    </r>
    <r>
      <rPr>
        <b/>
        <sz val="12"/>
        <color rgb="FFFFFF00"/>
        <rFont val="Arial CE"/>
        <charset val="238"/>
      </rPr>
      <t>jízdenky</t>
    </r>
    <r>
      <rPr>
        <b/>
        <sz val="12"/>
        <rFont val="Arial CE"/>
        <charset val="238"/>
      </rPr>
      <t xml:space="preserve">, u cesty se Student Agency i s vytištěným daňovým dokladem. Při jízdě autem přiložit kopii </t>
    </r>
    <r>
      <rPr>
        <b/>
        <sz val="12"/>
        <color rgb="FFFFFF00"/>
        <rFont val="Arial CE"/>
        <charset val="238"/>
      </rPr>
      <t>techničák</t>
    </r>
    <r>
      <rPr>
        <b/>
        <sz val="12"/>
        <rFont val="Arial CE"/>
        <charset val="238"/>
      </rPr>
      <t xml:space="preserve">u nejlépe s </t>
    </r>
    <r>
      <rPr>
        <b/>
        <sz val="12"/>
        <color rgb="FFFFFF00"/>
        <rFont val="Arial CE"/>
        <charset val="238"/>
      </rPr>
      <t>SPZ</t>
    </r>
    <r>
      <rPr>
        <b/>
        <sz val="12"/>
        <rFont val="Arial CE"/>
        <charset val="238"/>
      </rPr>
      <t xml:space="preserve"> a vyznačenou </t>
    </r>
    <r>
      <rPr>
        <b/>
        <sz val="12"/>
        <color rgb="FFFFFF00"/>
        <rFont val="Arial CE"/>
        <charset val="238"/>
      </rPr>
      <t>spotřebou</t>
    </r>
    <r>
      <rPr>
        <b/>
        <sz val="12"/>
        <rFont val="Arial CE"/>
        <charset val="238"/>
      </rPr>
      <t>.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</si>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</sst>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;@"/>
    <numFmt numFmtId="165" formatCode="[$-F400]h:mm:ss\ AM/PM"/>
    <numFmt numFmtId="166" formatCode="h:mm;@"/>
    <numFmt numFmtId="167" formatCode="#,##0.00\ &quot;Kč&quot;"/>
    <numFmt numFmtId="168" formatCode="#,##0.0\ &quot;Kč&quot;"/>
  </numFmts>
  <fonts count="40" x14ac:knownFonts="1">
    <font>
      <sz val="10"/>
      <name val="Arial CE"/>
    </font>
    <font>
      <b/>
      <sz val="20"/>
      <name val="Arial CE"/>
      <charset val="238"/>
    </font>
    <font>
      <sz val="14"/>
      <name val="Arial CE"/>
    </font>
    <font>
      <sz val="14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12"/>
      <name val="Arial CE"/>
    </font>
    <font>
      <b/>
      <sz val="14"/>
      <name val="Arial CE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2"/>
      <name val="Arial CE"/>
    </font>
    <font>
      <b/>
      <sz val="11"/>
      <name val="Arial CE"/>
      <charset val="238"/>
    </font>
    <font>
      <sz val="11"/>
      <name val="Arial CE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20"/>
      <color rgb="FFFF33CC"/>
      <name val="Arial CE"/>
      <charset val="238"/>
    </font>
    <font>
      <b/>
      <sz val="12"/>
      <color theme="3" tint="-0.499984740745262"/>
      <name val="Arial CE"/>
      <charset val="238"/>
    </font>
    <font>
      <sz val="12"/>
      <color rgb="FFFFFF00"/>
      <name val="Arial CE"/>
    </font>
    <font>
      <b/>
      <sz val="12"/>
      <color rgb="FFC00000"/>
      <name val="Arial CE"/>
      <charset val="238"/>
    </font>
    <font>
      <u/>
      <sz val="10"/>
      <color theme="10"/>
      <name val="Arial CE"/>
    </font>
    <font>
      <b/>
      <sz val="12"/>
      <color rgb="FFFF0000"/>
      <name val="Arial CE"/>
      <charset val="238"/>
    </font>
    <font>
      <b/>
      <sz val="12"/>
      <color rgb="FFFFFF00"/>
      <name val="Arial CE"/>
      <charset val="238"/>
    </font>
    <font>
      <b/>
      <sz val="8"/>
      <name val="Arial CE"/>
      <charset val="238"/>
    </font>
    <font>
      <b/>
      <sz val="14"/>
      <color rgb="FFFF0000"/>
      <name val="Arial CE"/>
      <charset val="238"/>
    </font>
    <font>
      <sz val="10"/>
      <color theme="0" tint="-0.14999847407452621"/>
      <name val="Arial CE"/>
    </font>
    <font>
      <b/>
      <sz val="10"/>
      <color theme="0" tint="-0.14999847407452621"/>
      <name val="Arial CE"/>
    </font>
    <font>
      <sz val="10"/>
      <color rgb="FF00B050"/>
      <name val="Arial CE"/>
    </font>
    <font>
      <b/>
      <sz val="12"/>
      <color rgb="FF00B050"/>
      <name val="Arial CE"/>
      <charset val="238"/>
    </font>
    <font>
      <sz val="16"/>
      <name val="Arial CE"/>
    </font>
    <font>
      <sz val="10"/>
      <color rgb="FF00B050"/>
      <name val="Arial CE"/>
      <charset val="238"/>
    </font>
    <font>
      <b/>
      <sz val="22"/>
      <name val="Arial CE"/>
      <charset val="238"/>
    </font>
    <font>
      <b/>
      <sz val="24"/>
      <name val="Arial CE"/>
      <charset val="238"/>
    </font>
    <font>
      <sz val="11"/>
      <name val="Arial CE"/>
      <charset val="238"/>
    </font>
    <font>
      <b/>
      <sz val="20"/>
      <color rgb="FFFF0000"/>
      <name val="Arial CE"/>
      <charset val="238"/>
    </font>
    <font>
      <b/>
      <sz val="11"/>
      <color theme="9" tint="-0.499984740745262"/>
      <name val="Arial CE"/>
      <charset val="238"/>
    </font>
    <font>
      <b/>
      <sz val="12"/>
      <color theme="6" tint="-0.499984740745262"/>
      <name val="Arial CE"/>
      <charset val="238"/>
    </font>
    <font>
      <b/>
      <sz val="18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/>
    <xf numFmtId="0" fontId="10" fillId="0" borderId="0" xfId="0" applyFont="1"/>
    <xf numFmtId="0" fontId="6" fillId="0" borderId="0" xfId="0" applyFont="1"/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7" xfId="0" applyBorder="1"/>
    <xf numFmtId="0" fontId="0" fillId="0" borderId="0" xfId="0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0" fillId="0" borderId="2" xfId="0" applyNumberFormat="1" applyBorder="1"/>
    <xf numFmtId="2" fontId="0" fillId="0" borderId="3" xfId="0" applyNumberFormat="1" applyBorder="1"/>
    <xf numFmtId="0" fontId="9" fillId="0" borderId="21" xfId="0" applyFont="1" applyBorder="1"/>
    <xf numFmtId="0" fontId="9" fillId="0" borderId="23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166" fontId="0" fillId="3" borderId="17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6" fontId="0" fillId="3" borderId="30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164" fontId="0" fillId="4" borderId="13" xfId="0" applyNumberFormat="1" applyFill="1" applyBorder="1" applyAlignment="1" applyProtection="1">
      <alignment horizontal="left"/>
    </xf>
    <xf numFmtId="20" fontId="0" fillId="3" borderId="30" xfId="0" applyNumberFormat="1" applyFill="1" applyBorder="1" applyAlignment="1" applyProtection="1">
      <alignment horizontal="center"/>
      <protection locked="0"/>
    </xf>
    <xf numFmtId="166" fontId="0" fillId="4" borderId="13" xfId="0" applyNumberFormat="1" applyFont="1" applyFill="1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/>
      <protection locked="0"/>
    </xf>
    <xf numFmtId="20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8" xfId="0" applyBorder="1"/>
    <xf numFmtId="166" fontId="0" fillId="6" borderId="13" xfId="0" applyNumberFormat="1" applyFill="1" applyBorder="1" applyAlignment="1">
      <alignment horizontal="left"/>
    </xf>
    <xf numFmtId="0" fontId="0" fillId="0" borderId="41" xfId="0" applyBorder="1"/>
    <xf numFmtId="164" fontId="0" fillId="0" borderId="42" xfId="0" applyNumberFormat="1" applyFill="1" applyBorder="1" applyAlignment="1"/>
    <xf numFmtId="20" fontId="0" fillId="0" borderId="43" xfId="0" applyNumberFormat="1" applyFill="1" applyBorder="1"/>
    <xf numFmtId="0" fontId="0" fillId="0" borderId="46" xfId="0" applyBorder="1"/>
    <xf numFmtId="0" fontId="0" fillId="0" borderId="26" xfId="0" applyBorder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Protection="1"/>
    <xf numFmtId="0" fontId="11" fillId="0" borderId="1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/>
    </xf>
    <xf numFmtId="166" fontId="0" fillId="3" borderId="17" xfId="0" applyNumberFormat="1" applyFill="1" applyBorder="1" applyAlignment="1" applyProtection="1">
      <alignment horizontal="center"/>
    </xf>
    <xf numFmtId="166" fontId="0" fillId="3" borderId="30" xfId="0" applyNumberFormat="1" applyFill="1" applyBorder="1" applyAlignment="1" applyProtection="1">
      <alignment horizontal="center"/>
    </xf>
    <xf numFmtId="20" fontId="0" fillId="3" borderId="30" xfId="0" applyNumberFormat="1" applyFill="1" applyBorder="1" applyAlignment="1" applyProtection="1">
      <alignment horizontal="center"/>
    </xf>
    <xf numFmtId="166" fontId="0" fillId="4" borderId="13" xfId="0" applyNumberFormat="1" applyFont="1" applyFill="1" applyBorder="1" applyAlignment="1" applyProtection="1">
      <alignment horizontal="left"/>
    </xf>
    <xf numFmtId="166" fontId="0" fillId="4" borderId="13" xfId="0" applyNumberFormat="1" applyFill="1" applyBorder="1" applyAlignment="1" applyProtection="1">
      <alignment horizontal="left"/>
    </xf>
    <xf numFmtId="20" fontId="0" fillId="3" borderId="22" xfId="0" applyNumberForma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5" xfId="0" applyBorder="1" applyProtection="1"/>
    <xf numFmtId="0" fontId="0" fillId="0" borderId="41" xfId="0" applyBorder="1" applyProtection="1"/>
    <xf numFmtId="164" fontId="0" fillId="0" borderId="42" xfId="0" applyNumberFormat="1" applyFill="1" applyBorder="1" applyAlignment="1" applyProtection="1"/>
    <xf numFmtId="0" fontId="0" fillId="0" borderId="46" xfId="0" applyBorder="1" applyProtection="1"/>
    <xf numFmtId="164" fontId="0" fillId="0" borderId="1" xfId="0" applyNumberFormat="1" applyFill="1" applyBorder="1" applyAlignment="1" applyProtection="1"/>
    <xf numFmtId="0" fontId="0" fillId="0" borderId="0" xfId="0" applyFill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/>
    <xf numFmtId="0" fontId="0" fillId="0" borderId="6" xfId="0" applyNumberFormat="1" applyBorder="1"/>
    <xf numFmtId="0" fontId="0" fillId="0" borderId="21" xfId="0" applyFill="1" applyBorder="1"/>
    <xf numFmtId="0" fontId="9" fillId="0" borderId="48" xfId="0" applyFont="1" applyBorder="1"/>
    <xf numFmtId="165" fontId="0" fillId="0" borderId="49" xfId="0" applyNumberFormat="1" applyBorder="1"/>
    <xf numFmtId="2" fontId="0" fillId="0" borderId="50" xfId="0" applyNumberFormat="1" applyBorder="1"/>
    <xf numFmtId="2" fontId="0" fillId="0" borderId="24" xfId="0" applyNumberFormat="1" applyBorder="1"/>
    <xf numFmtId="0" fontId="0" fillId="0" borderId="51" xfId="0" applyBorder="1"/>
    <xf numFmtId="0" fontId="0" fillId="0" borderId="5" xfId="0" applyFill="1" applyBorder="1"/>
    <xf numFmtId="164" fontId="0" fillId="0" borderId="20" xfId="0" applyNumberFormat="1" applyBorder="1"/>
    <xf numFmtId="14" fontId="0" fillId="0" borderId="34" xfId="0" applyNumberFormat="1" applyBorder="1"/>
    <xf numFmtId="14" fontId="0" fillId="0" borderId="26" xfId="0" applyNumberFormat="1" applyBorder="1"/>
    <xf numFmtId="0" fontId="9" fillId="0" borderId="4" xfId="0" applyFont="1" applyBorder="1" applyAlignment="1">
      <alignment horizontal="center"/>
    </xf>
    <xf numFmtId="167" fontId="0" fillId="0" borderId="0" xfId="0" applyNumberFormat="1"/>
    <xf numFmtId="167" fontId="9" fillId="0" borderId="0" xfId="0" applyNumberFormat="1" applyFont="1"/>
    <xf numFmtId="3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 wrapText="1"/>
    </xf>
    <xf numFmtId="2" fontId="0" fillId="4" borderId="13" xfId="0" applyNumberFormat="1" applyFill="1" applyBorder="1" applyAlignment="1">
      <alignment horizontal="center"/>
    </xf>
    <xf numFmtId="0" fontId="12" fillId="0" borderId="0" xfId="0" applyFont="1"/>
    <xf numFmtId="168" fontId="9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left"/>
    </xf>
    <xf numFmtId="2" fontId="0" fillId="4" borderId="13" xfId="0" applyNumberFormat="1" applyFill="1" applyBorder="1" applyAlignment="1" applyProtection="1">
      <alignment horizontal="center"/>
    </xf>
    <xf numFmtId="168" fontId="9" fillId="5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/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2" fillId="0" borderId="6" xfId="0" applyFont="1" applyBorder="1" applyProtection="1"/>
    <xf numFmtId="0" fontId="2" fillId="0" borderId="5" xfId="0" applyFont="1" applyBorder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10" fillId="0" borderId="0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Protection="1"/>
    <xf numFmtId="0" fontId="8" fillId="0" borderId="0" xfId="0" applyFont="1" applyBorder="1" applyAlignment="1" applyProtection="1"/>
    <xf numFmtId="0" fontId="0" fillId="0" borderId="6" xfId="0" applyBorder="1" applyAlignment="1" applyProtection="1"/>
    <xf numFmtId="0" fontId="12" fillId="0" borderId="5" xfId="0" applyFont="1" applyBorder="1" applyProtection="1"/>
    <xf numFmtId="166" fontId="0" fillId="0" borderId="6" xfId="0" applyNumberFormat="1" applyBorder="1" applyProtection="1"/>
    <xf numFmtId="20" fontId="0" fillId="0" borderId="61" xfId="0" applyNumberFormat="1" applyFill="1" applyBorder="1" applyProtection="1"/>
    <xf numFmtId="20" fontId="0" fillId="0" borderId="59" xfId="0" applyNumberFormat="1" applyFill="1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4" xfId="0" applyFill="1" applyBorder="1" applyProtection="1"/>
    <xf numFmtId="0" fontId="0" fillId="0" borderId="27" xfId="0" applyBorder="1" applyProtection="1"/>
    <xf numFmtId="0" fontId="20" fillId="7" borderId="0" xfId="0" applyFont="1" applyFill="1" applyAlignment="1" applyProtection="1">
      <alignment horizontal="left" vertical="top" wrapText="1"/>
    </xf>
    <xf numFmtId="0" fontId="0" fillId="7" borderId="0" xfId="0" applyFill="1" applyProtection="1"/>
    <xf numFmtId="0" fontId="19" fillId="7" borderId="0" xfId="0" applyFont="1" applyFill="1" applyProtection="1"/>
    <xf numFmtId="0" fontId="8" fillId="7" borderId="0" xfId="0" applyFont="1" applyFill="1" applyProtection="1"/>
    <xf numFmtId="0" fontId="4" fillId="8" borderId="0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9" borderId="0" xfId="0" applyFill="1"/>
    <xf numFmtId="0" fontId="8" fillId="7" borderId="0" xfId="0" applyFont="1" applyFill="1" applyAlignment="1" applyProtection="1">
      <alignment horizontal="center" vertical="top"/>
    </xf>
    <xf numFmtId="167" fontId="8" fillId="1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0" applyFont="1" applyFill="1" applyBorder="1" applyAlignment="1" applyProtection="1">
      <alignment horizontal="left"/>
      <protection locked="0"/>
    </xf>
    <xf numFmtId="20" fontId="12" fillId="0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0" fillId="0" borderId="62" xfId="0" applyFill="1" applyBorder="1" applyAlignment="1">
      <alignment vertical="center"/>
    </xf>
    <xf numFmtId="0" fontId="0" fillId="0" borderId="6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6" borderId="0" xfId="0" applyFill="1" applyBorder="1"/>
    <xf numFmtId="0" fontId="16" fillId="0" borderId="0" xfId="0" applyFont="1" applyBorder="1"/>
    <xf numFmtId="0" fontId="9" fillId="0" borderId="0" xfId="0" applyNumberFormat="1" applyFont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167" fontId="27" fillId="0" borderId="0" xfId="0" applyNumberFormat="1" applyFont="1" applyFill="1"/>
    <xf numFmtId="167" fontId="28" fillId="0" borderId="0" xfId="0" applyNumberFormat="1" applyFont="1" applyFill="1"/>
    <xf numFmtId="0" fontId="27" fillId="0" borderId="2" xfId="0" applyFont="1" applyFill="1" applyBorder="1"/>
    <xf numFmtId="0" fontId="27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5" xfId="0" applyFont="1" applyFill="1" applyBorder="1"/>
    <xf numFmtId="0" fontId="27" fillId="0" borderId="20" xfId="0" applyFont="1" applyFill="1" applyBorder="1"/>
    <xf numFmtId="167" fontId="27" fillId="0" borderId="3" xfId="0" applyNumberFormat="1" applyFont="1" applyFill="1" applyBorder="1"/>
    <xf numFmtId="0" fontId="27" fillId="0" borderId="4" xfId="0" applyFont="1" applyFill="1" applyBorder="1"/>
    <xf numFmtId="0" fontId="27" fillId="0" borderId="34" xfId="0" applyFont="1" applyFill="1" applyBorder="1"/>
    <xf numFmtId="0" fontId="27" fillId="0" borderId="6" xfId="0" applyFont="1" applyFill="1" applyBorder="1"/>
    <xf numFmtId="167" fontId="27" fillId="0" borderId="0" xfId="0" applyNumberFormat="1" applyFont="1" applyFill="1" applyBorder="1"/>
    <xf numFmtId="0" fontId="27" fillId="0" borderId="21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31" fillId="0" borderId="0" xfId="0" applyFont="1"/>
    <xf numFmtId="2" fontId="29" fillId="6" borderId="0" xfId="0" applyNumberFormat="1" applyFont="1" applyFill="1" applyBorder="1"/>
    <xf numFmtId="0" fontId="8" fillId="7" borderId="5" xfId="0" applyFont="1" applyFill="1" applyBorder="1" applyAlignment="1" applyProtection="1">
      <alignment vertical="top" wrapText="1"/>
    </xf>
    <xf numFmtId="167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center"/>
    </xf>
    <xf numFmtId="20" fontId="12" fillId="0" borderId="44" xfId="0" applyNumberFormat="1" applyFont="1" applyFill="1" applyBorder="1" applyAlignment="1" applyProtection="1"/>
    <xf numFmtId="20" fontId="12" fillId="0" borderId="0" xfId="0" applyNumberFormat="1" applyFont="1" applyFill="1" applyBorder="1" applyAlignment="1" applyProtection="1"/>
    <xf numFmtId="167" fontId="8" fillId="6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19" fillId="7" borderId="0" xfId="0" applyFont="1" applyFill="1" applyBorder="1" applyProtection="1"/>
    <xf numFmtId="0" fontId="8" fillId="7" borderId="0" xfId="0" applyFont="1" applyFill="1" applyBorder="1" applyProtection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8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Border="1"/>
    <xf numFmtId="0" fontId="17" fillId="5" borderId="13" xfId="0" applyFont="1" applyFill="1" applyBorder="1" applyProtection="1">
      <protection locked="0"/>
    </xf>
    <xf numFmtId="14" fontId="17" fillId="0" borderId="0" xfId="0" applyNumberFormat="1" applyFont="1" applyBorder="1"/>
    <xf numFmtId="0" fontId="8" fillId="0" borderId="0" xfId="0" applyFont="1" applyBorder="1"/>
    <xf numFmtId="2" fontId="17" fillId="0" borderId="0" xfId="0" applyNumberFormat="1" applyFont="1" applyBorder="1"/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/>
    <xf numFmtId="0" fontId="17" fillId="5" borderId="63" xfId="0" applyFont="1" applyFill="1" applyBorder="1" applyProtection="1">
      <protection locked="0"/>
    </xf>
    <xf numFmtId="0" fontId="17" fillId="4" borderId="0" xfId="0" applyFont="1" applyFill="1"/>
    <xf numFmtId="14" fontId="17" fillId="0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17" fillId="5" borderId="63" xfId="0" applyFont="1" applyFill="1" applyBorder="1" applyAlignment="1" applyProtection="1">
      <alignment horizontal="left" wrapText="1"/>
      <protection locked="0"/>
    </xf>
    <xf numFmtId="49" fontId="17" fillId="5" borderId="65" xfId="0" applyNumberFormat="1" applyFont="1" applyFill="1" applyBorder="1" applyAlignment="1" applyProtection="1">
      <alignment horizontal="left" wrapText="1"/>
      <protection locked="0"/>
    </xf>
    <xf numFmtId="0" fontId="26" fillId="6" borderId="0" xfId="0" applyFont="1" applyFill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17" fillId="11" borderId="63" xfId="0" applyFont="1" applyFill="1" applyBorder="1" applyAlignment="1">
      <alignment horizontal="center"/>
    </xf>
    <xf numFmtId="0" fontId="17" fillId="5" borderId="66" xfId="0" applyFont="1" applyFill="1" applyBorder="1" applyAlignment="1" applyProtection="1">
      <alignment horizontal="left" vertical="top" wrapText="1"/>
      <protection locked="0"/>
    </xf>
    <xf numFmtId="0" fontId="17" fillId="5" borderId="67" xfId="0" applyFont="1" applyFill="1" applyBorder="1" applyAlignment="1" applyProtection="1">
      <alignment horizontal="left" vertical="top" wrapText="1"/>
      <protection locked="0"/>
    </xf>
    <xf numFmtId="0" fontId="17" fillId="5" borderId="64" xfId="0" applyFont="1" applyFill="1" applyBorder="1" applyAlignment="1" applyProtection="1">
      <alignment horizontal="left" vertical="top" wrapText="1"/>
      <protection locked="0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top" wrapText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/>
    </xf>
    <xf numFmtId="164" fontId="13" fillId="0" borderId="47" xfId="0" applyNumberFormat="1" applyFont="1" applyFill="1" applyBorder="1" applyAlignment="1">
      <alignment horizontal="left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27" xfId="0" applyNumberFormat="1" applyFont="1" applyFill="1" applyBorder="1" applyAlignment="1">
      <alignment horizontal="center" vertical="center"/>
    </xf>
    <xf numFmtId="168" fontId="4" fillId="6" borderId="20" xfId="0" applyNumberFormat="1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45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13" borderId="38" xfId="0" applyNumberFormat="1" applyFill="1" applyBorder="1" applyAlignment="1" applyProtection="1">
      <alignment horizontal="center" vertical="center"/>
    </xf>
    <xf numFmtId="167" fontId="0" fillId="13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67" fontId="0" fillId="3" borderId="25" xfId="0" applyNumberFormat="1" applyFill="1" applyBorder="1" applyAlignment="1" applyProtection="1">
      <alignment horizontal="center" vertical="center"/>
      <protection locked="0"/>
    </xf>
    <xf numFmtId="167" fontId="0" fillId="13" borderId="26" xfId="0" applyNumberFormat="1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7" fontId="0" fillId="3" borderId="36" xfId="0" applyNumberFormat="1" applyFill="1" applyBorder="1" applyAlignment="1" applyProtection="1">
      <alignment horizontal="center" vertical="center"/>
      <protection locked="0"/>
    </xf>
    <xf numFmtId="167" fontId="0" fillId="3" borderId="31" xfId="0" applyNumberFormat="1" applyFill="1" applyBorder="1" applyAlignment="1" applyProtection="1">
      <alignment horizontal="center" vertical="center"/>
      <protection locked="0"/>
    </xf>
    <xf numFmtId="164" fontId="0" fillId="3" borderId="39" xfId="0" applyNumberFormat="1" applyFill="1" applyBorder="1" applyAlignment="1" applyProtection="1">
      <alignment horizontal="center"/>
      <protection locked="0"/>
    </xf>
    <xf numFmtId="167" fontId="0" fillId="3" borderId="23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3" borderId="18" xfId="0" applyFill="1" applyBorder="1" applyAlignment="1" applyProtection="1">
      <alignment horizontal="center" vertical="center"/>
      <protection locked="0"/>
    </xf>
    <xf numFmtId="167" fontId="0" fillId="3" borderId="19" xfId="0" quotePrefix="1" applyNumberFormat="1" applyFill="1" applyBorder="1" applyAlignment="1" applyProtection="1">
      <alignment horizontal="center" vertical="center"/>
      <protection locked="0"/>
    </xf>
    <xf numFmtId="167" fontId="0" fillId="13" borderId="20" xfId="0" applyNumberForma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167" fontId="0" fillId="3" borderId="18" xfId="0" applyNumberForma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3" fontId="22" fillId="3" borderId="0" xfId="1" applyNumberFormat="1" applyFill="1" applyBorder="1" applyAlignment="1" applyProtection="1">
      <alignment horizontal="left"/>
      <protection locked="0"/>
    </xf>
    <xf numFmtId="3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>
      <alignment horizontal="left"/>
    </xf>
    <xf numFmtId="0" fontId="8" fillId="7" borderId="5" xfId="0" applyFont="1" applyFill="1" applyBorder="1" applyAlignment="1" applyProtection="1">
      <alignment horizontal="left" vertical="top" wrapText="1"/>
    </xf>
    <xf numFmtId="164" fontId="0" fillId="0" borderId="0" xfId="0" applyNumberFormat="1" applyFont="1" applyFill="1" applyBorder="1" applyAlignment="1" applyProtection="1">
      <alignment horizontal="right" vertical="center" wrapText="1"/>
    </xf>
    <xf numFmtId="16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40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164" fontId="0" fillId="3" borderId="35" xfId="0" applyNumberFormat="1" applyFill="1" applyBorder="1" applyAlignment="1" applyProtection="1">
      <alignment horizontal="center" vertical="center"/>
    </xf>
    <xf numFmtId="164" fontId="0" fillId="3" borderId="29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</xf>
    <xf numFmtId="0" fontId="0" fillId="3" borderId="57" xfId="0" applyFill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167" fontId="0" fillId="3" borderId="36" xfId="0" applyNumberFormat="1" applyFill="1" applyBorder="1" applyAlignment="1" applyProtection="1">
      <alignment horizontal="center" vertical="center"/>
    </xf>
    <xf numFmtId="167" fontId="0" fillId="3" borderId="31" xfId="0" applyNumberFormat="1" applyFill="1" applyBorder="1" applyAlignment="1" applyProtection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horizontal="center" vertical="center"/>
    </xf>
    <xf numFmtId="167" fontId="0" fillId="5" borderId="38" xfId="0" applyNumberFormat="1" applyFill="1" applyBorder="1" applyAlignment="1" applyProtection="1">
      <alignment horizontal="center" vertical="center"/>
    </xf>
    <xf numFmtId="167" fontId="0" fillId="5" borderId="33" xfId="0" applyNumberForma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3" borderId="54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horizontal="center"/>
    </xf>
    <xf numFmtId="0" fontId="18" fillId="6" borderId="24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 applyProtection="1">
      <alignment horizontal="center" vertical="center"/>
    </xf>
    <xf numFmtId="166" fontId="4" fillId="6" borderId="2" xfId="0" applyNumberFormat="1" applyFont="1" applyFill="1" applyBorder="1" applyAlignment="1" applyProtection="1">
      <alignment horizontal="center" vertical="center"/>
    </xf>
    <xf numFmtId="166" fontId="4" fillId="6" borderId="4" xfId="0" applyNumberFormat="1" applyFont="1" applyFill="1" applyBorder="1" applyAlignment="1" applyProtection="1">
      <alignment horizontal="center" vertical="center"/>
    </xf>
    <xf numFmtId="166" fontId="4" fillId="6" borderId="21" xfId="0" applyNumberFormat="1" applyFont="1" applyFill="1" applyBorder="1" applyAlignment="1" applyProtection="1">
      <alignment horizontal="center" vertical="center"/>
    </xf>
    <xf numFmtId="166" fontId="4" fillId="6" borderId="27" xfId="0" applyNumberFormat="1" applyFont="1" applyFill="1" applyBorder="1" applyAlignment="1" applyProtection="1">
      <alignment horizontal="center" vertical="center"/>
    </xf>
    <xf numFmtId="168" fontId="4" fillId="6" borderId="20" xfId="0" applyNumberFormat="1" applyFont="1" applyFill="1" applyBorder="1" applyAlignment="1" applyProtection="1">
      <alignment horizontal="center" vertical="center"/>
    </xf>
    <xf numFmtId="168" fontId="4" fillId="6" borderId="2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164" fontId="0" fillId="3" borderId="28" xfId="0" applyNumberForma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vertical="center"/>
    </xf>
    <xf numFmtId="167" fontId="0" fillId="3" borderId="18" xfId="0" applyNumberFormat="1" applyFill="1" applyBorder="1" applyAlignment="1" applyProtection="1">
      <alignment horizontal="center" vertical="center"/>
    </xf>
    <xf numFmtId="167" fontId="0" fillId="3" borderId="19" xfId="0" applyNumberFormat="1" applyFill="1" applyBorder="1" applyAlignment="1" applyProtection="1">
      <alignment horizontal="center" vertical="center"/>
    </xf>
    <xf numFmtId="167" fontId="0" fillId="5" borderId="20" xfId="0" applyNumberForma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67" fontId="0" fillId="5" borderId="26" xfId="0" applyNumberForma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164" fontId="0" fillId="3" borderId="39" xfId="0" applyNumberForma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7" fontId="0" fillId="3" borderId="23" xfId="0" applyNumberFormat="1" applyFill="1" applyBorder="1" applyAlignment="1" applyProtection="1">
      <alignment horizontal="center" vertical="center"/>
    </xf>
    <xf numFmtId="167" fontId="0" fillId="3" borderId="25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/>
    </xf>
    <xf numFmtId="3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E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165263</xdr:colOff>
      <xdr:row>1</xdr:row>
      <xdr:rowOff>11196</xdr:rowOff>
    </xdr:from>
    <xdr:to>
      <xdr:col>1</xdr:col>
      <xdr:colOff>412042</xdr:colOff>
      <xdr:row>5</xdr:row>
      <xdr:rowOff>72649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63" y="232176"/>
          <a:ext cx="818279" cy="1017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164468</xdr:colOff>
      <xdr:row>1</xdr:row>
      <xdr:rowOff>13095</xdr:rowOff>
    </xdr:from>
    <xdr:to>
      <xdr:col>1</xdr:col>
      <xdr:colOff>411247</xdr:colOff>
      <xdr:row>5</xdr:row>
      <xdr:rowOff>149707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8" y="1002074"/>
          <a:ext cx="818279" cy="102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8"/>
  <sheetViews>
    <sheetView tabSelected="1" zoomScaleNormal="100" workbookViewId="0">
      <selection activeCell="G16" sqref="G16"/>
    </sheetView>
  </sheetViews>
  <sheetFormatPr defaultRowHeight="13.2" outlineLevelCol="1" x14ac:dyDescent="0.25"/>
  <cols>
    <col min="1" max="1" width="12.109375" customWidth="1"/>
    <col min="2" max="2" width="10.88671875" customWidth="1"/>
    <col min="4" max="4" width="8.44140625" customWidth="1"/>
    <col min="5" max="5" width="10.44140625" customWidth="1"/>
    <col min="13" max="13" width="11" customWidth="1"/>
    <col min="21" max="21" width="11.44140625" bestFit="1" customWidth="1"/>
    <col min="23" max="31" width="9.109375" hidden="1" customWidth="1" outlineLevel="1"/>
    <col min="32" max="32" width="9.109375" collapsed="1"/>
  </cols>
  <sheetData>
    <row r="1" spans="1:31" ht="58.5" customHeight="1" x14ac:dyDescent="0.25">
      <c r="A1" s="255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31" x14ac:dyDescent="0.25">
      <c r="J2" s="175"/>
      <c r="K2" s="175"/>
      <c r="L2" s="175"/>
      <c r="M2" s="175"/>
      <c r="W2" s="192" t="s">
        <v>94</v>
      </c>
      <c r="Y2" s="192" t="s">
        <v>95</v>
      </c>
    </row>
    <row r="3" spans="1:31" ht="22.8" x14ac:dyDescent="0.4">
      <c r="A3" s="212"/>
      <c r="B3" s="229" t="s">
        <v>103</v>
      </c>
      <c r="C3" s="212"/>
      <c r="D3" s="212"/>
      <c r="E3" s="212"/>
      <c r="F3" s="212"/>
      <c r="G3" s="212"/>
      <c r="H3" s="212"/>
      <c r="I3" s="212"/>
      <c r="J3" s="175"/>
      <c r="K3" s="175"/>
      <c r="L3" s="175"/>
      <c r="M3" s="175"/>
    </row>
    <row r="4" spans="1:31" ht="20.25" customHeight="1" x14ac:dyDescent="0.3">
      <c r="A4" s="236" t="s">
        <v>104</v>
      </c>
      <c r="B4" s="253"/>
      <c r="C4" s="253"/>
      <c r="D4" s="253"/>
      <c r="E4" s="253"/>
      <c r="F4" s="253"/>
      <c r="G4" s="253"/>
      <c r="H4" s="253"/>
      <c r="I4" s="253"/>
      <c r="J4" s="191" t="s">
        <v>107</v>
      </c>
      <c r="K4" s="191"/>
      <c r="L4" s="175"/>
      <c r="M4" s="175"/>
    </row>
    <row r="5" spans="1:31" ht="20.25" customHeight="1" x14ac:dyDescent="0.3">
      <c r="A5" s="236" t="s">
        <v>105</v>
      </c>
      <c r="B5" s="258"/>
      <c r="C5" s="259"/>
      <c r="D5" s="259"/>
      <c r="E5" s="259"/>
      <c r="F5" s="259"/>
      <c r="G5" s="259"/>
      <c r="H5" s="259"/>
      <c r="I5" s="260"/>
      <c r="J5" s="213" t="s">
        <v>111</v>
      </c>
      <c r="K5" s="191"/>
      <c r="L5" s="191"/>
      <c r="M5" s="191"/>
      <c r="W5" t="s">
        <v>102</v>
      </c>
    </row>
    <row r="6" spans="1:31" ht="15.6" x14ac:dyDescent="0.3">
      <c r="A6" s="236" t="s">
        <v>106</v>
      </c>
      <c r="B6" s="254"/>
      <c r="C6" s="254"/>
      <c r="D6" s="237"/>
      <c r="E6" s="237"/>
      <c r="F6" s="238"/>
      <c r="G6" s="238"/>
      <c r="H6" s="238"/>
      <c r="I6" s="239"/>
      <c r="J6" s="191"/>
      <c r="K6" s="191"/>
      <c r="L6" s="191"/>
      <c r="M6" s="191"/>
      <c r="W6" s="195" t="s">
        <v>57</v>
      </c>
      <c r="X6" s="194" t="s">
        <v>19</v>
      </c>
      <c r="Y6" s="31"/>
      <c r="Z6" s="195" t="s">
        <v>97</v>
      </c>
      <c r="AA6" s="195">
        <f>YEAR('el. vyplnění'!F13)</f>
        <v>1900</v>
      </c>
      <c r="AB6" s="111"/>
      <c r="AC6" s="111"/>
      <c r="AD6" s="111"/>
      <c r="AE6" s="111"/>
    </row>
    <row r="7" spans="1:31" ht="15" x14ac:dyDescent="0.25">
      <c r="A7" s="238"/>
      <c r="B7" s="238"/>
      <c r="C7" s="238"/>
      <c r="D7" s="238"/>
      <c r="E7" s="238"/>
      <c r="F7" s="238"/>
      <c r="G7" s="238"/>
      <c r="H7" s="238"/>
      <c r="I7" s="239"/>
      <c r="J7" s="191"/>
      <c r="K7" s="191"/>
      <c r="L7" s="191"/>
      <c r="M7" s="191"/>
      <c r="W7" s="195"/>
      <c r="X7" s="194">
        <f>IF('el. vyplnění'!D18="ne",0,'el. vyplnění'!M36/100*IF('el. vyplnění'!C35="",IF('el. vyplnění'!E35="nafta",AA7,IF('el. vyplnění'!E35="natural 95",AA8,0)),'el. vyplnění'!C35))</f>
        <v>0</v>
      </c>
      <c r="Y7" s="31"/>
      <c r="Z7" s="195" t="s">
        <v>49</v>
      </c>
      <c r="AA7" s="195" t="e">
        <f>VLOOKUP(AA6,A15:B22,2,0)</f>
        <v>#N/A</v>
      </c>
      <c r="AB7" s="111"/>
      <c r="AC7" s="111"/>
      <c r="AD7" s="111"/>
      <c r="AE7" s="111"/>
    </row>
    <row r="8" spans="1:31" ht="15" x14ac:dyDescent="0.25">
      <c r="A8" s="238"/>
      <c r="B8" s="238"/>
      <c r="C8" s="238"/>
      <c r="D8" s="238"/>
      <c r="E8" s="238"/>
      <c r="F8" s="238"/>
      <c r="G8" s="238"/>
      <c r="H8" s="238"/>
      <c r="I8" s="239"/>
      <c r="J8" s="191"/>
      <c r="K8" s="191"/>
      <c r="L8" s="191"/>
      <c r="M8" s="191"/>
      <c r="W8" s="194" t="s">
        <v>101</v>
      </c>
      <c r="X8" s="195">
        <f>ROUND(('el. vyplnění'!J36*4+'el. vyplnění'!K36*7)/11,1)</f>
        <v>0</v>
      </c>
      <c r="Y8" s="31"/>
      <c r="Z8" s="195" t="s">
        <v>89</v>
      </c>
      <c r="AA8" s="195" t="e">
        <f>VLOOKUP(AA6,D15:E22,2,0)</f>
        <v>#N/A</v>
      </c>
      <c r="AB8" s="111"/>
      <c r="AC8" s="111"/>
      <c r="AD8" s="111"/>
      <c r="AE8" s="111"/>
    </row>
    <row r="9" spans="1:31" ht="16.2" thickBot="1" x14ac:dyDescent="0.35">
      <c r="A9" s="240" t="s">
        <v>98</v>
      </c>
      <c r="B9" s="238"/>
      <c r="C9" s="238"/>
      <c r="D9" s="238"/>
      <c r="E9" s="238"/>
      <c r="F9" s="238"/>
      <c r="G9" s="238"/>
      <c r="H9" s="238"/>
      <c r="I9" s="241"/>
      <c r="J9" s="191" t="s">
        <v>110</v>
      </c>
      <c r="K9" s="191"/>
      <c r="L9" s="191"/>
      <c r="M9" s="191"/>
      <c r="W9" s="194"/>
      <c r="X9" s="194"/>
      <c r="Y9" s="31"/>
      <c r="Z9" s="31"/>
      <c r="AA9" s="31"/>
      <c r="AB9" s="111"/>
      <c r="AC9" s="111"/>
      <c r="AD9" s="111"/>
      <c r="AE9" s="111"/>
    </row>
    <row r="10" spans="1:31" ht="16.2" thickBot="1" x14ac:dyDescent="0.35">
      <c r="A10" s="13" t="s">
        <v>99</v>
      </c>
      <c r="B10" s="242">
        <v>15</v>
      </c>
      <c r="C10" s="238"/>
      <c r="D10" s="238"/>
      <c r="E10" s="238"/>
      <c r="F10" s="238"/>
      <c r="G10" s="238"/>
      <c r="H10" s="238"/>
      <c r="I10" s="243"/>
      <c r="J10" s="191" t="s">
        <v>108</v>
      </c>
      <c r="K10" s="191"/>
      <c r="L10" s="191"/>
      <c r="M10" s="191"/>
      <c r="W10" s="195">
        <f>'el. vyplnění'!K40*B10%</f>
        <v>0</v>
      </c>
      <c r="X10" s="194"/>
      <c r="Y10" s="31"/>
      <c r="Z10" s="31"/>
      <c r="AA10" s="31"/>
      <c r="AB10" s="111"/>
      <c r="AC10" s="111"/>
      <c r="AD10" s="111"/>
      <c r="AE10" s="111"/>
    </row>
    <row r="11" spans="1:31" ht="15" x14ac:dyDescent="0.25">
      <c r="A11" s="238"/>
      <c r="B11" s="238"/>
      <c r="C11" s="238"/>
      <c r="D11" s="238"/>
      <c r="E11" s="238"/>
      <c r="F11" s="238"/>
      <c r="G11" s="238"/>
      <c r="H11" s="238"/>
      <c r="I11" s="238"/>
      <c r="J11" s="175"/>
      <c r="K11" s="175"/>
      <c r="L11" s="175"/>
      <c r="M11" s="191"/>
      <c r="W11" s="194"/>
      <c r="X11" s="194"/>
      <c r="Y11" s="31"/>
      <c r="Z11" s="31"/>
      <c r="AA11" s="31"/>
      <c r="AB11" s="111"/>
      <c r="AC11" s="111"/>
      <c r="AD11" s="111"/>
      <c r="AE11" s="111"/>
    </row>
    <row r="12" spans="1:31" ht="15" x14ac:dyDescent="0.25">
      <c r="A12" s="238"/>
      <c r="B12" s="238"/>
      <c r="C12" s="238"/>
      <c r="D12" s="238"/>
      <c r="E12" s="238"/>
      <c r="F12" s="238"/>
      <c r="G12" s="238"/>
      <c r="H12" s="238"/>
      <c r="I12" s="238"/>
      <c r="J12" s="175"/>
      <c r="K12" s="175"/>
      <c r="L12" s="175"/>
      <c r="M12" s="191"/>
      <c r="W12" s="195"/>
      <c r="X12" s="195"/>
      <c r="Y12" s="195"/>
      <c r="Z12" s="195" t="s">
        <v>39</v>
      </c>
      <c r="AA12" s="195" t="s">
        <v>59</v>
      </c>
      <c r="AB12" s="195" t="s">
        <v>60</v>
      </c>
      <c r="AC12" s="195" t="s">
        <v>61</v>
      </c>
      <c r="AD12" s="195" t="s">
        <v>26</v>
      </c>
      <c r="AE12" s="195"/>
    </row>
    <row r="13" spans="1:31" ht="15.6" x14ac:dyDescent="0.3">
      <c r="A13" s="244" t="s">
        <v>96</v>
      </c>
      <c r="B13" s="238"/>
      <c r="C13" s="238"/>
      <c r="D13" s="238"/>
      <c r="E13" s="238"/>
      <c r="F13" s="239"/>
      <c r="G13" s="245"/>
      <c r="H13" s="240"/>
      <c r="I13" s="238"/>
      <c r="J13" s="191"/>
      <c r="K13" s="191"/>
      <c r="L13" s="191"/>
      <c r="M13" s="191"/>
      <c r="W13" s="194" t="s">
        <v>56</v>
      </c>
      <c r="X13" s="196">
        <f>Z27+(AA27*AD13)+'el. vyplnění'!L40+'el. vyplnění'!J40</f>
        <v>0</v>
      </c>
      <c r="Y13" s="194"/>
      <c r="Z13" s="194">
        <f>IF('el. vyplnění'!C40="",0,1)</f>
        <v>0</v>
      </c>
      <c r="AA13" s="194">
        <f>IF('el. vyplnění'!K40="",0,1)</f>
        <v>0</v>
      </c>
      <c r="AB13" s="195">
        <f>IF('el. vyplnění'!M36=0,0,1)</f>
        <v>0</v>
      </c>
      <c r="AC13" s="195">
        <f>IF('el. vyplnění'!C35="",IF('el. vyplnění'!E35="",0,1),1)</f>
        <v>0</v>
      </c>
      <c r="AD13" s="195">
        <f t="shared" ref="AD13:AD20" si="0">Z13*AA13*$AB$13*$AC$13</f>
        <v>0</v>
      </c>
      <c r="AE13" s="195"/>
    </row>
    <row r="14" spans="1:31" ht="15" x14ac:dyDescent="0.25">
      <c r="A14" s="257" t="s">
        <v>49</v>
      </c>
      <c r="B14" s="257"/>
      <c r="C14" s="238"/>
      <c r="D14" s="257" t="s">
        <v>89</v>
      </c>
      <c r="E14" s="257"/>
      <c r="F14" s="238"/>
      <c r="G14" s="239"/>
      <c r="H14" s="240"/>
      <c r="I14" s="238"/>
      <c r="J14" s="191"/>
      <c r="K14" s="191"/>
      <c r="L14" s="191"/>
      <c r="M14" s="191"/>
      <c r="W14" s="194"/>
      <c r="X14" s="196">
        <f>Z29+AA29*AD14+'el. vyplnění'!L42+'el. vyplnění'!J42</f>
        <v>0</v>
      </c>
      <c r="Y14" s="194"/>
      <c r="Z14" s="194">
        <f>IF('el. vyplnění'!C42="",0,1)</f>
        <v>0</v>
      </c>
      <c r="AA14" s="194">
        <f>IF('el. vyplnění'!K42="",0,1)</f>
        <v>0</v>
      </c>
      <c r="AB14" s="195"/>
      <c r="AC14" s="195"/>
      <c r="AD14" s="195">
        <f t="shared" si="0"/>
        <v>0</v>
      </c>
      <c r="AE14" s="195"/>
    </row>
    <row r="15" spans="1:31" ht="15" x14ac:dyDescent="0.25">
      <c r="A15" s="246" t="s">
        <v>97</v>
      </c>
      <c r="B15" s="246" t="s">
        <v>53</v>
      </c>
      <c r="C15" s="247"/>
      <c r="D15" s="246" t="s">
        <v>97</v>
      </c>
      <c r="E15" s="246" t="s">
        <v>53</v>
      </c>
      <c r="F15" s="238"/>
      <c r="G15" s="238"/>
      <c r="H15" s="240"/>
      <c r="I15" s="238"/>
      <c r="J15" s="191"/>
      <c r="K15" s="191"/>
      <c r="L15" s="191"/>
      <c r="M15" s="191"/>
      <c r="W15" s="194"/>
      <c r="X15" s="196">
        <f>Z31+AA31*AD15+'el. vyplnění'!L44+'el. vyplnění'!J44</f>
        <v>0</v>
      </c>
      <c r="Y15" s="194"/>
      <c r="Z15" s="194">
        <f>IF('el. vyplnění'!C44="",0,1)</f>
        <v>0</v>
      </c>
      <c r="AA15" s="194">
        <f>IF('el. vyplnění'!K44="",0,1)</f>
        <v>0</v>
      </c>
      <c r="AB15" s="195"/>
      <c r="AC15" s="195"/>
      <c r="AD15" s="195">
        <f t="shared" si="0"/>
        <v>0</v>
      </c>
      <c r="AE15" s="195"/>
    </row>
    <row r="16" spans="1:31" ht="20.25" customHeight="1" x14ac:dyDescent="0.25">
      <c r="A16" s="248">
        <v>2016</v>
      </c>
      <c r="B16" s="249">
        <v>29.5</v>
      </c>
      <c r="C16" s="238"/>
      <c r="D16" s="248">
        <v>2016</v>
      </c>
      <c r="E16" s="249">
        <v>29.7</v>
      </c>
      <c r="F16" s="238"/>
      <c r="G16" s="238"/>
      <c r="H16" s="240"/>
      <c r="I16" s="238"/>
      <c r="J16" s="256" t="s">
        <v>109</v>
      </c>
      <c r="K16" s="256"/>
      <c r="L16" s="256"/>
      <c r="M16" s="256"/>
      <c r="W16" s="195"/>
      <c r="X16" s="196">
        <f>Z33+AA33*AD16+'el. vyplnění'!L46+'el. vyplnění'!J46</f>
        <v>0</v>
      </c>
      <c r="Y16" s="194"/>
      <c r="Z16" s="194">
        <f>IF('el. vyplnění'!C46="",0,1)</f>
        <v>0</v>
      </c>
      <c r="AA16" s="194">
        <f>IF('el. vyplnění'!K46="",0,1)</f>
        <v>0</v>
      </c>
      <c r="AB16" s="195"/>
      <c r="AC16" s="195"/>
      <c r="AD16" s="195">
        <f t="shared" si="0"/>
        <v>0</v>
      </c>
      <c r="AE16" s="195"/>
    </row>
    <row r="17" spans="1:31" ht="15" x14ac:dyDescent="0.25">
      <c r="A17" s="250">
        <v>2017</v>
      </c>
      <c r="B17" s="249">
        <v>28.6</v>
      </c>
      <c r="C17" s="238"/>
      <c r="D17" s="250">
        <v>2017</v>
      </c>
      <c r="E17" s="249">
        <v>29.5</v>
      </c>
      <c r="F17" s="238"/>
      <c r="G17" s="238"/>
      <c r="H17" s="238"/>
      <c r="I17" s="238"/>
      <c r="J17" s="256"/>
      <c r="K17" s="256"/>
      <c r="L17" s="256"/>
      <c r="M17" s="256"/>
      <c r="W17" s="195"/>
      <c r="X17" s="196">
        <f>Z35+AA35*AD17+'el. vyplnění'!L48+'el. vyplnění'!J48</f>
        <v>0</v>
      </c>
      <c r="Y17" s="194"/>
      <c r="Z17" s="194">
        <f>IF('el. vyplnění'!C48="",0,1)</f>
        <v>0</v>
      </c>
      <c r="AA17" s="194">
        <f>IF('el. vyplnění'!K48="",0,1)</f>
        <v>0</v>
      </c>
      <c r="AB17" s="195"/>
      <c r="AC17" s="195"/>
      <c r="AD17" s="195">
        <f t="shared" si="0"/>
        <v>0</v>
      </c>
      <c r="AE17" s="195"/>
    </row>
    <row r="18" spans="1:31" ht="15" x14ac:dyDescent="0.25">
      <c r="A18" s="250">
        <v>2018</v>
      </c>
      <c r="B18" s="249">
        <v>29.8</v>
      </c>
      <c r="C18" s="238"/>
      <c r="D18" s="250">
        <v>2018</v>
      </c>
      <c r="E18" s="249">
        <v>30.5</v>
      </c>
      <c r="F18" s="238"/>
      <c r="G18" s="238"/>
      <c r="H18" s="238"/>
      <c r="I18" s="238"/>
      <c r="J18" s="256" t="s">
        <v>112</v>
      </c>
      <c r="K18" s="256"/>
      <c r="L18" s="256"/>
      <c r="M18" s="256"/>
      <c r="W18" s="195"/>
      <c r="X18" s="196">
        <f>Z37+AA37*AD18+'el. vyplnění'!L50+'el. vyplnění'!J50</f>
        <v>0</v>
      </c>
      <c r="Y18" s="194"/>
      <c r="Z18" s="194">
        <f>IF('el. vyplnění'!C50="",0,1)</f>
        <v>0</v>
      </c>
      <c r="AA18" s="194">
        <f>IF('el. vyplnění'!K50="",0,1)</f>
        <v>0</v>
      </c>
      <c r="AB18" s="195"/>
      <c r="AC18" s="195"/>
      <c r="AD18" s="195">
        <f t="shared" si="0"/>
        <v>0</v>
      </c>
      <c r="AE18" s="195"/>
    </row>
    <row r="19" spans="1:31" ht="15" x14ac:dyDescent="0.25">
      <c r="A19" s="250">
        <v>2019</v>
      </c>
      <c r="B19" s="249">
        <v>33.6</v>
      </c>
      <c r="C19" s="238"/>
      <c r="D19" s="250">
        <v>2019</v>
      </c>
      <c r="E19" s="249">
        <v>33.1</v>
      </c>
      <c r="F19" s="238"/>
      <c r="G19" s="238"/>
      <c r="H19" s="240"/>
      <c r="I19" s="238"/>
      <c r="J19" s="256"/>
      <c r="K19" s="256"/>
      <c r="L19" s="256"/>
      <c r="M19" s="256"/>
      <c r="W19" s="195"/>
      <c r="X19" s="196">
        <f>Z39+AA39*AD19+'el. vyplnění'!L52+'el. vyplnění'!J52</f>
        <v>0</v>
      </c>
      <c r="Y19" s="194"/>
      <c r="Z19" s="194">
        <f>IF('el. vyplnění'!C52="",0,1)</f>
        <v>0</v>
      </c>
      <c r="AA19" s="194">
        <f>IF('el. vyplnění'!K52="",0,1)</f>
        <v>0</v>
      </c>
      <c r="AB19" s="194"/>
      <c r="AC19" s="194"/>
      <c r="AD19" s="195">
        <f t="shared" si="0"/>
        <v>0</v>
      </c>
      <c r="AE19" s="195"/>
    </row>
    <row r="20" spans="1:31" ht="15" x14ac:dyDescent="0.25">
      <c r="A20" s="250">
        <v>2020</v>
      </c>
      <c r="B20" s="249">
        <v>31.8</v>
      </c>
      <c r="C20" s="238"/>
      <c r="D20" s="250">
        <v>2020</v>
      </c>
      <c r="E20" s="249">
        <v>32</v>
      </c>
      <c r="F20" s="238"/>
      <c r="G20" s="238"/>
      <c r="H20" s="251"/>
      <c r="I20" s="238"/>
      <c r="J20" s="256"/>
      <c r="K20" s="256"/>
      <c r="L20" s="256"/>
      <c r="M20" s="256"/>
      <c r="W20" s="195"/>
      <c r="X20" s="196">
        <f>Z41+AA41*AD20+'el. vyplnění'!L54+'el. vyplnění'!J54</f>
        <v>0</v>
      </c>
      <c r="Y20" s="194"/>
      <c r="Z20" s="194">
        <f>IF('el. vyplnění'!C54="",0,1)</f>
        <v>0</v>
      </c>
      <c r="AA20" s="194">
        <f>IF('el. vyplnění'!K54="",0,1)</f>
        <v>0</v>
      </c>
      <c r="AB20" s="194"/>
      <c r="AC20" s="194"/>
      <c r="AD20" s="195">
        <f t="shared" si="0"/>
        <v>0</v>
      </c>
      <c r="AE20" s="195"/>
    </row>
    <row r="21" spans="1:31" ht="15" x14ac:dyDescent="0.25">
      <c r="A21" s="250">
        <v>2021</v>
      </c>
      <c r="B21" s="249">
        <v>27.2</v>
      </c>
      <c r="C21" s="238"/>
      <c r="D21" s="250">
        <v>2021</v>
      </c>
      <c r="E21" s="249">
        <v>27.8</v>
      </c>
      <c r="F21" s="238"/>
      <c r="G21" s="238"/>
      <c r="H21" s="251"/>
      <c r="I21" s="238"/>
      <c r="J21" s="256"/>
      <c r="K21" s="256"/>
      <c r="L21" s="256"/>
      <c r="M21" s="256"/>
      <c r="W21" s="194"/>
      <c r="X21" s="197">
        <f>SUM(X13:X20)</f>
        <v>0</v>
      </c>
      <c r="Y21" s="194"/>
      <c r="Z21" s="194"/>
      <c r="AA21" s="194"/>
      <c r="AB21" s="194"/>
      <c r="AC21" s="194"/>
      <c r="AD21" s="194"/>
      <c r="AE21" s="195"/>
    </row>
    <row r="22" spans="1:31" ht="15" x14ac:dyDescent="0.25">
      <c r="A22" s="250">
        <v>2022</v>
      </c>
      <c r="B22" s="249">
        <v>47.1</v>
      </c>
      <c r="C22" s="238"/>
      <c r="D22" s="250">
        <v>2022</v>
      </c>
      <c r="E22" s="249">
        <v>44.5</v>
      </c>
      <c r="F22" s="238"/>
      <c r="G22" s="238"/>
      <c r="H22" s="238"/>
      <c r="I22" s="243"/>
      <c r="J22" s="256"/>
      <c r="K22" s="256"/>
      <c r="L22" s="256"/>
      <c r="M22" s="256"/>
      <c r="W22" s="194"/>
      <c r="X22" s="196"/>
      <c r="Y22" s="194"/>
      <c r="Z22" s="194"/>
      <c r="AA22" s="194"/>
      <c r="AB22" s="194"/>
      <c r="AC22" s="194"/>
      <c r="AD22" s="194"/>
      <c r="AE22" s="195"/>
    </row>
    <row r="23" spans="1:31" ht="15" x14ac:dyDescent="0.25">
      <c r="A23" s="250">
        <v>2023</v>
      </c>
      <c r="B23" s="249"/>
      <c r="C23" s="238"/>
      <c r="D23" s="250">
        <v>2023</v>
      </c>
      <c r="E23" s="249"/>
      <c r="F23" s="238"/>
      <c r="G23" s="238"/>
      <c r="H23" s="238"/>
      <c r="I23" s="243"/>
      <c r="J23" s="191"/>
      <c r="K23" s="191"/>
      <c r="L23" s="191"/>
      <c r="M23" s="191"/>
      <c r="W23" s="194" t="s">
        <v>80</v>
      </c>
      <c r="X23" s="196">
        <f>SUM('el. vyplnění'!M40:M55)</f>
        <v>0</v>
      </c>
      <c r="Y23" s="194"/>
      <c r="Z23" s="194"/>
      <c r="AA23" s="194"/>
      <c r="AB23" s="194"/>
      <c r="AC23" s="194"/>
      <c r="AD23" s="194"/>
      <c r="AE23" s="195"/>
    </row>
    <row r="24" spans="1:31" ht="15" x14ac:dyDescent="0.25">
      <c r="A24" s="250">
        <v>2024</v>
      </c>
      <c r="B24" s="249"/>
      <c r="C24" s="238"/>
      <c r="D24" s="250">
        <v>2024</v>
      </c>
      <c r="E24" s="249"/>
      <c r="F24" s="238"/>
      <c r="G24" s="238"/>
      <c r="H24" s="238"/>
      <c r="I24" s="243"/>
      <c r="J24" s="191"/>
      <c r="K24" s="191"/>
      <c r="L24" s="191"/>
      <c r="M24" s="191"/>
      <c r="W24" s="194"/>
      <c r="X24" s="196"/>
      <c r="Y24" s="194"/>
      <c r="Z24" s="194"/>
      <c r="AA24" s="194"/>
      <c r="AB24" s="194"/>
      <c r="AC24" s="194"/>
      <c r="AD24" s="194"/>
      <c r="AE24" s="195"/>
    </row>
    <row r="25" spans="1:31" ht="15.6" thickBot="1" x14ac:dyDescent="0.3">
      <c r="A25" s="250">
        <v>2025</v>
      </c>
      <c r="B25" s="249"/>
      <c r="C25" s="238"/>
      <c r="D25" s="250">
        <v>2025</v>
      </c>
      <c r="E25" s="249"/>
      <c r="F25" s="238"/>
      <c r="G25" s="238"/>
      <c r="H25" s="238"/>
      <c r="I25" s="243"/>
      <c r="J25" s="191"/>
      <c r="K25" s="191"/>
      <c r="L25" s="191"/>
      <c r="M25" s="191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5.6" thickBot="1" x14ac:dyDescent="0.3">
      <c r="A26" s="250">
        <v>2026</v>
      </c>
      <c r="B26" s="249"/>
      <c r="C26" s="238"/>
      <c r="D26" s="250">
        <v>2026</v>
      </c>
      <c r="E26" s="249"/>
      <c r="F26" s="238"/>
      <c r="G26" s="238"/>
      <c r="H26" s="238"/>
      <c r="I26" s="243"/>
      <c r="J26" s="191"/>
      <c r="K26" s="191"/>
      <c r="L26" s="191"/>
      <c r="M26" s="191"/>
      <c r="W26" s="195"/>
      <c r="X26" s="198" t="s">
        <v>27</v>
      </c>
      <c r="Y26" s="199" t="s">
        <v>28</v>
      </c>
      <c r="Z26" s="200" t="s">
        <v>36</v>
      </c>
      <c r="AA26" s="201" t="s">
        <v>37</v>
      </c>
      <c r="AB26" s="195"/>
      <c r="AC26" s="195"/>
      <c r="AD26" s="195"/>
      <c r="AE26" s="195"/>
    </row>
    <row r="27" spans="1:31" ht="15" x14ac:dyDescent="0.25">
      <c r="A27" s="250">
        <v>2027</v>
      </c>
      <c r="B27" s="249"/>
      <c r="C27" s="238"/>
      <c r="D27" s="250">
        <v>2027</v>
      </c>
      <c r="E27" s="249"/>
      <c r="F27" s="238"/>
      <c r="G27" s="238"/>
      <c r="H27" s="239"/>
      <c r="I27" s="243"/>
      <c r="J27" s="191"/>
      <c r="K27" s="191"/>
      <c r="L27" s="191"/>
      <c r="M27" s="191"/>
      <c r="W27" s="195"/>
      <c r="X27" s="202"/>
      <c r="Y27" s="203">
        <f>IF('el. vyplnění'!D18="ano",'el. vyplnění'!K40,0)</f>
        <v>0</v>
      </c>
      <c r="Z27" s="204">
        <f>'el. vyplnění'!I40</f>
        <v>0</v>
      </c>
      <c r="AA27" s="205">
        <f>IF('el. vyplnění'!G38="",0,IF('el. vyplnění'!G40="",0,ROUND('el. vyplnění'!G40*(Y27+IF('el. vyplnění'!H40="ano",X7+W10,X7)),2)))</f>
        <v>0</v>
      </c>
      <c r="AB27" s="195"/>
      <c r="AC27" s="195"/>
      <c r="AD27" s="195"/>
      <c r="AE27" s="195"/>
    </row>
    <row r="28" spans="1:31" ht="15" x14ac:dyDescent="0.25">
      <c r="A28" s="250">
        <v>2028</v>
      </c>
      <c r="B28" s="249"/>
      <c r="C28" s="238"/>
      <c r="D28" s="250">
        <v>2028</v>
      </c>
      <c r="E28" s="249"/>
      <c r="F28" s="238"/>
      <c r="G28" s="238"/>
      <c r="H28" s="239"/>
      <c r="I28" s="243"/>
      <c r="J28" s="191"/>
      <c r="K28" s="191"/>
      <c r="L28" s="191"/>
      <c r="M28" s="191"/>
      <c r="W28" s="195"/>
      <c r="X28" s="202" t="str">
        <f>IF('el. vyplnění'!K40=1,amos1,IF('el. vyplnění'!K40=2,amos2,IF('el. vyplnění'!K40=3,amos3,IF('el. vyplnění'!K40&gt;=3,amos3,""))))</f>
        <v/>
      </c>
      <c r="Y28" s="206"/>
      <c r="Z28" s="194"/>
      <c r="AA28" s="207"/>
      <c r="AB28" s="195"/>
      <c r="AC28" s="195"/>
      <c r="AD28" s="195"/>
      <c r="AE28" s="195"/>
    </row>
    <row r="29" spans="1:31" ht="15" x14ac:dyDescent="0.25">
      <c r="A29" s="250">
        <v>2029</v>
      </c>
      <c r="B29" s="249"/>
      <c r="C29" s="238"/>
      <c r="D29" s="250">
        <v>2029</v>
      </c>
      <c r="E29" s="249"/>
      <c r="F29" s="238"/>
      <c r="G29" s="238"/>
      <c r="H29" s="239"/>
      <c r="I29" s="243"/>
      <c r="J29" s="191"/>
      <c r="K29" s="191"/>
      <c r="L29" s="191"/>
      <c r="M29" s="191"/>
      <c r="W29" s="195"/>
      <c r="X29" s="202"/>
      <c r="Y29" s="206">
        <f>IF('el. vyplnění'!D18="ano",'el. vyplnění'!K42,0)</f>
        <v>0</v>
      </c>
      <c r="Z29" s="208">
        <f>'el. vyplnění'!I42</f>
        <v>0</v>
      </c>
      <c r="AA29" s="207">
        <f>IF('el. vyplnění'!G38="",0,IF('el. vyplnění'!G42="",0,ROUND('el. vyplnění'!G42*(Y29+IF('el. vyplnění'!H42="ano",X7+W10,X7)),2)))</f>
        <v>0</v>
      </c>
      <c r="AB29" s="195"/>
      <c r="AC29" s="195"/>
      <c r="AD29" s="195"/>
      <c r="AE29" s="195"/>
    </row>
    <row r="30" spans="1:31" ht="15" x14ac:dyDescent="0.25">
      <c r="A30" s="250">
        <v>2030</v>
      </c>
      <c r="B30" s="249"/>
      <c r="C30" s="238"/>
      <c r="D30" s="250">
        <v>2030</v>
      </c>
      <c r="E30" s="249"/>
      <c r="F30" s="238"/>
      <c r="G30" s="238"/>
      <c r="H30" s="239"/>
      <c r="I30" s="243"/>
      <c r="J30" s="191"/>
      <c r="K30" s="191"/>
      <c r="L30" s="191"/>
      <c r="M30" s="191"/>
      <c r="W30" s="195"/>
      <c r="X30" s="202" t="str">
        <f>IF('el. vyplnění'!K42=1,amos1,IF('el. vyplnění'!K42=2,amos2,IF('el. vyplnění'!K42=3,amos3,IF('el. vyplnění'!K42&gt;=3,amos3,""))))</f>
        <v/>
      </c>
      <c r="Y30" s="206"/>
      <c r="Z30" s="194"/>
      <c r="AA30" s="207"/>
      <c r="AB30" s="195"/>
      <c r="AC30" s="195"/>
      <c r="AD30" s="195"/>
      <c r="AE30" s="195"/>
    </row>
    <row r="31" spans="1:31" ht="15" x14ac:dyDescent="0.25">
      <c r="A31" s="250">
        <v>2031</v>
      </c>
      <c r="B31" s="249"/>
      <c r="C31" s="238"/>
      <c r="D31" s="250">
        <v>2031</v>
      </c>
      <c r="E31" s="249"/>
      <c r="F31" s="238"/>
      <c r="G31" s="238"/>
      <c r="H31" s="239"/>
      <c r="I31" s="243"/>
      <c r="J31" s="252"/>
      <c r="K31" s="252"/>
      <c r="L31" s="252"/>
      <c r="M31" s="191"/>
      <c r="W31" s="195"/>
      <c r="X31" s="202"/>
      <c r="Y31" s="206">
        <f>IF('el. vyplnění'!D18="ano",'el. vyplnění'!K44,0)</f>
        <v>0</v>
      </c>
      <c r="Z31" s="208">
        <f>'el. vyplnění'!I44</f>
        <v>0</v>
      </c>
      <c r="AA31" s="207">
        <f>IF('el. vyplnění'!G38="",0,IF('el. vyplnění'!G44="",0,ROUND('el. vyplnění'!G44*(Y31+IF('el. vyplnění'!H44="ano",X7+W10,X7)),2)))</f>
        <v>0</v>
      </c>
      <c r="AB31" s="195"/>
      <c r="AC31" s="195"/>
      <c r="AD31" s="195"/>
      <c r="AE31" s="195"/>
    </row>
    <row r="32" spans="1:31" ht="15" x14ac:dyDescent="0.25">
      <c r="A32" s="250">
        <v>2032</v>
      </c>
      <c r="B32" s="249"/>
      <c r="C32" s="238"/>
      <c r="D32" s="250">
        <v>2032</v>
      </c>
      <c r="E32" s="249"/>
      <c r="F32" s="238"/>
      <c r="G32" s="238"/>
      <c r="H32" s="238"/>
      <c r="I32" s="238"/>
      <c r="J32" s="175"/>
      <c r="K32" s="175"/>
      <c r="L32" s="175"/>
      <c r="M32" s="175"/>
      <c r="W32" s="195"/>
      <c r="X32" s="202" t="str">
        <f>IF('el. vyplnění'!K44=1,amos1,IF('el. vyplnění'!K44=2,amos2,IF('el. vyplnění'!K44=3,amos3,IF('el. vyplnění'!K44&gt;=3,amos3,""))))</f>
        <v/>
      </c>
      <c r="Y32" s="206"/>
      <c r="Z32" s="194"/>
      <c r="AA32" s="207"/>
      <c r="AB32" s="195"/>
      <c r="AC32" s="195"/>
      <c r="AD32" s="195"/>
      <c r="AE32" s="195"/>
    </row>
    <row r="33" spans="1:31" ht="15" x14ac:dyDescent="0.25">
      <c r="A33" s="238"/>
      <c r="B33" s="238"/>
      <c r="C33" s="238"/>
      <c r="D33" s="238"/>
      <c r="E33" s="238"/>
      <c r="F33" s="238"/>
      <c r="G33" s="238"/>
      <c r="H33" s="238"/>
      <c r="I33" s="238"/>
      <c r="W33" s="195"/>
      <c r="X33" s="202"/>
      <c r="Y33" s="206">
        <f>IF('el. vyplnění'!D18="ano",'el. vyplnění'!K46,0)</f>
        <v>0</v>
      </c>
      <c r="Z33" s="208">
        <f>'el. vyplnění'!I46</f>
        <v>0</v>
      </c>
      <c r="AA33" s="207">
        <f>IF('el. vyplnění'!G38="",0,IF('el. vyplnění'!G46="",0,ROUND('el. vyplnění'!G46*(Y33+IF('el. vyplnění'!H46="ano",X7+W10,X7)),2)))</f>
        <v>0</v>
      </c>
      <c r="AB33" s="195"/>
      <c r="AC33" s="195"/>
      <c r="AD33" s="195"/>
      <c r="AE33" s="195"/>
    </row>
    <row r="34" spans="1:31" ht="20.399999999999999" x14ac:dyDescent="0.35">
      <c r="A34" s="212"/>
      <c r="B34" s="212"/>
      <c r="C34" s="212"/>
      <c r="D34" s="212"/>
      <c r="E34" s="212"/>
      <c r="F34" s="212"/>
      <c r="G34" s="212"/>
      <c r="H34" s="212"/>
      <c r="I34" s="212"/>
      <c r="W34" s="195"/>
      <c r="X34" s="202" t="str">
        <f>IF('el. vyplnění'!K46=1,amos1,IF('el. vyplnění'!K46=2,amos2,IF('el. vyplnění'!K46=3,amos3,IF('el. vyplnění'!K46&gt;=3,amos3,""))))</f>
        <v/>
      </c>
      <c r="Y34" s="206"/>
      <c r="Z34" s="194"/>
      <c r="AA34" s="207"/>
      <c r="AB34" s="195"/>
      <c r="AC34" s="195"/>
      <c r="AD34" s="195"/>
      <c r="AE34" s="195"/>
    </row>
    <row r="35" spans="1:31" ht="20.399999999999999" x14ac:dyDescent="0.35">
      <c r="A35" s="212"/>
      <c r="B35" s="212"/>
      <c r="C35" s="212"/>
      <c r="D35" s="212"/>
      <c r="E35" s="212"/>
      <c r="F35" s="212"/>
      <c r="G35" s="212"/>
      <c r="H35" s="212"/>
      <c r="I35" s="212"/>
      <c r="W35" s="195"/>
      <c r="X35" s="202"/>
      <c r="Y35" s="206">
        <f>IF('el. vyplnění'!D18="ano",'el. vyplnění'!K48,0)</f>
        <v>0</v>
      </c>
      <c r="Z35" s="208">
        <f>'el. vyplnění'!I48</f>
        <v>0</v>
      </c>
      <c r="AA35" s="207">
        <f>IF('el. vyplnění'!G38="",0,IF('el. vyplnění'!G48="",0,ROUND('el. vyplnění'!G48*(Y35+IF('el. vyplnění'!H48="ano",X7+W10,X7)),2)))</f>
        <v>0</v>
      </c>
      <c r="AB35" s="195"/>
      <c r="AC35" s="195"/>
      <c r="AD35" s="195"/>
      <c r="AE35" s="195"/>
    </row>
    <row r="36" spans="1:31" ht="20.399999999999999" x14ac:dyDescent="0.35">
      <c r="A36" s="212"/>
      <c r="B36" s="212"/>
      <c r="C36" s="212"/>
      <c r="D36" s="212"/>
      <c r="E36" s="212"/>
      <c r="F36" s="212"/>
      <c r="G36" s="212"/>
      <c r="H36" s="212"/>
      <c r="I36" s="212"/>
      <c r="W36" s="195"/>
      <c r="X36" s="202" t="str">
        <f>IF('el. vyplnění'!K48=1,amos1,IF('el. vyplnění'!K48=2,amos2,IF('el. vyplnění'!K48=3,amos3,IF('el. vyplnění'!K48&gt;=3,amos3,""))))</f>
        <v/>
      </c>
      <c r="Y36" s="206"/>
      <c r="Z36" s="194"/>
      <c r="AA36" s="207"/>
      <c r="AB36" s="195"/>
      <c r="AC36" s="195"/>
      <c r="AD36" s="195"/>
      <c r="AE36" s="195"/>
    </row>
    <row r="37" spans="1:31" ht="20.399999999999999" x14ac:dyDescent="0.35">
      <c r="A37" s="212"/>
      <c r="B37" s="212"/>
      <c r="C37" s="212"/>
      <c r="D37" s="212"/>
      <c r="E37" s="212"/>
      <c r="F37" s="212"/>
      <c r="G37" s="212"/>
      <c r="H37" s="212"/>
      <c r="I37" s="212"/>
      <c r="W37" s="195"/>
      <c r="X37" s="202"/>
      <c r="Y37" s="206">
        <f>IF('el. vyplnění'!D18="ano",'el. vyplnění'!K50,0)</f>
        <v>0</v>
      </c>
      <c r="Z37" s="208">
        <f>'el. vyplnění'!I50</f>
        <v>0</v>
      </c>
      <c r="AA37" s="207">
        <f>IF('el. vyplnění'!G38="",0,IF('el. vyplnění'!G50="",0,ROUND('el. vyplnění'!G50*(Y37+IF('el. vyplnění'!H50="ano",X7+W10,X7)),2)))</f>
        <v>0</v>
      </c>
      <c r="AB37" s="195"/>
      <c r="AC37" s="195"/>
      <c r="AD37" s="195"/>
      <c r="AE37" s="195"/>
    </row>
    <row r="38" spans="1:31" ht="20.399999999999999" x14ac:dyDescent="0.35">
      <c r="A38" s="212"/>
      <c r="B38" s="212"/>
      <c r="C38" s="212"/>
      <c r="D38" s="212"/>
      <c r="E38" s="212"/>
      <c r="F38" s="212"/>
      <c r="G38" s="212"/>
      <c r="H38" s="212"/>
      <c r="I38" s="212"/>
      <c r="W38" s="195"/>
      <c r="X38" s="202" t="str">
        <f>IF('el. vyplnění'!K50=1,amos1,IF('el. vyplnění'!K50=2,amos2,IF('el. vyplnění'!K50=3,3.5,IF('el. vyplnění'!K50&gt;=3,3.5,""))))</f>
        <v/>
      </c>
      <c r="Y38" s="206"/>
      <c r="Z38" s="194"/>
      <c r="AA38" s="207"/>
      <c r="AB38" s="195"/>
      <c r="AC38" s="195"/>
      <c r="AD38" s="195"/>
      <c r="AE38" s="195"/>
    </row>
    <row r="39" spans="1:31" ht="20.399999999999999" x14ac:dyDescent="0.35">
      <c r="A39" s="212"/>
      <c r="B39" s="212"/>
      <c r="C39" s="212"/>
      <c r="D39" s="212"/>
      <c r="E39" s="212"/>
      <c r="F39" s="212"/>
      <c r="G39" s="212"/>
      <c r="H39" s="212"/>
      <c r="I39" s="212"/>
      <c r="J39" s="10"/>
      <c r="W39" s="195"/>
      <c r="X39" s="202"/>
      <c r="Y39" s="206">
        <f>IF('el. vyplnění'!D18="ano",'el. vyplnění'!K52,0)</f>
        <v>0</v>
      </c>
      <c r="Z39" s="208">
        <f>'el. vyplnění'!I52</f>
        <v>0</v>
      </c>
      <c r="AA39" s="207">
        <f>IF('el. vyplnění'!G38="",0,IF('el. vyplnění'!G52="",0,ROUND('el. vyplnění'!G52*(Y39+IF('el. vyplnění'!H52="ano",X7+W10,X7)),2)))</f>
        <v>0</v>
      </c>
      <c r="AB39" s="195"/>
      <c r="AC39" s="195"/>
      <c r="AD39" s="195"/>
      <c r="AE39" s="195"/>
    </row>
    <row r="40" spans="1:31" ht="20.399999999999999" x14ac:dyDescent="0.35">
      <c r="A40" s="212"/>
      <c r="B40" s="212"/>
      <c r="C40" s="212"/>
      <c r="D40" s="212"/>
      <c r="E40" s="212"/>
      <c r="F40" s="212"/>
      <c r="G40" s="212"/>
      <c r="H40" s="212"/>
      <c r="I40" s="212"/>
      <c r="J40" s="10"/>
      <c r="W40" s="195"/>
      <c r="X40" s="202" t="str">
        <f>IF('el. vyplnění'!K52=1,amos1,IF('el. vyplnění'!K52=2,amos2,IF('el. vyplnění'!K52=3,amos3,IF('el. vyplnění'!K52&gt;=3,amos3,""))))</f>
        <v/>
      </c>
      <c r="Y40" s="206"/>
      <c r="Z40" s="194"/>
      <c r="AA40" s="207"/>
      <c r="AB40" s="195"/>
      <c r="AC40" s="195"/>
      <c r="AD40" s="195"/>
      <c r="AE40" s="195"/>
    </row>
    <row r="41" spans="1:31" x14ac:dyDescent="0.25">
      <c r="J41" s="31"/>
      <c r="W41" s="195"/>
      <c r="X41" s="202"/>
      <c r="Y41" s="206">
        <f>IF('el. vyplnění'!D18="ano",'el. vyplnění'!K54,0)</f>
        <v>0</v>
      </c>
      <c r="Z41" s="208">
        <f>'el. vyplnění'!I54</f>
        <v>0</v>
      </c>
      <c r="AA41" s="207">
        <f>IF('el. vyplnění'!G38="",0,IF('el. vyplnění'!G54="",0,ROUND('el. vyplnění'!G54*(Y41+IF('el. vyplnění'!H54="ano",X7+W10,X7)),2)))</f>
        <v>0</v>
      </c>
      <c r="AB41" s="195"/>
      <c r="AC41" s="195"/>
      <c r="AD41" s="195"/>
      <c r="AE41" s="195"/>
    </row>
    <row r="42" spans="1:31" x14ac:dyDescent="0.25">
      <c r="J42" s="31"/>
      <c r="W42" s="195"/>
      <c r="X42" s="202" t="str">
        <f>IF('el. vyplnění'!K54=1,amos1,IF('el. vyplnění'!K54=2,amos2,IF('el. vyplnění'!K54=3,amos3,IF('el. vyplnění'!K54&gt;=3,amos3,""))))</f>
        <v/>
      </c>
      <c r="Y42" s="206"/>
      <c r="Z42" s="194"/>
      <c r="AA42" s="207"/>
      <c r="AB42" s="195"/>
      <c r="AC42" s="195"/>
      <c r="AD42" s="195"/>
      <c r="AE42" s="195"/>
    </row>
    <row r="43" spans="1:31" ht="13.8" thickBot="1" x14ac:dyDescent="0.3">
      <c r="J43" s="31"/>
      <c r="W43" s="195"/>
      <c r="X43" s="209"/>
      <c r="Y43" s="210"/>
      <c r="Z43" s="209"/>
      <c r="AA43" s="211"/>
      <c r="AB43" s="195"/>
      <c r="AC43" s="195"/>
      <c r="AD43" s="195"/>
      <c r="AE43" s="195"/>
    </row>
    <row r="44" spans="1:31" x14ac:dyDescent="0.25">
      <c r="J44" s="31"/>
      <c r="W44" s="195"/>
      <c r="X44" s="194"/>
      <c r="Y44" s="195"/>
      <c r="Z44" s="195"/>
      <c r="AA44" s="195"/>
      <c r="AB44" s="195"/>
      <c r="AC44" s="195"/>
      <c r="AD44" s="195"/>
      <c r="AE44" s="195"/>
    </row>
    <row r="45" spans="1:31" x14ac:dyDescent="0.25">
      <c r="B45" s="31"/>
      <c r="C45" s="127"/>
      <c r="D45" s="31"/>
      <c r="E45" s="31"/>
      <c r="F45" s="31"/>
      <c r="G45" s="31"/>
      <c r="H45" s="31"/>
      <c r="I45" s="31"/>
      <c r="J45" s="31"/>
      <c r="W45" s="195"/>
      <c r="X45" s="194"/>
      <c r="Y45" s="195"/>
      <c r="Z45" s="195"/>
      <c r="AA45" s="195"/>
      <c r="AB45" s="195"/>
      <c r="AC45" s="195"/>
      <c r="AD45" s="195"/>
      <c r="AE45" s="195"/>
    </row>
    <row r="46" spans="1:31" x14ac:dyDescent="0.25"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11"/>
    </row>
    <row r="47" spans="1:31" x14ac:dyDescent="0.25"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11"/>
    </row>
    <row r="48" spans="1:31" x14ac:dyDescent="0.25"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11"/>
    </row>
    <row r="49" spans="14:24" x14ac:dyDescent="0.25"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4:24" x14ac:dyDescent="0.25"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4:24" x14ac:dyDescent="0.25"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4:24" x14ac:dyDescent="0.25"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4:24" x14ac:dyDescent="0.25"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4:24" x14ac:dyDescent="0.25"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4:24" x14ac:dyDescent="0.25"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4:24" x14ac:dyDescent="0.25"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4:24" x14ac:dyDescent="0.25"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4:24" x14ac:dyDescent="0.25"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</sheetData>
  <sheetProtection sheet="1" objects="1" scenarios="1"/>
  <mergeCells count="9">
    <mergeCell ref="J31:L31"/>
    <mergeCell ref="B4:I4"/>
    <mergeCell ref="B6:C6"/>
    <mergeCell ref="A1:M1"/>
    <mergeCell ref="J16:M17"/>
    <mergeCell ref="D14:E14"/>
    <mergeCell ref="J18:M22"/>
    <mergeCell ref="A14:B14"/>
    <mergeCell ref="B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87"/>
  <sheetViews>
    <sheetView topLeftCell="A27" zoomScale="85" zoomScaleNormal="85" workbookViewId="0">
      <selection sqref="A1:M1"/>
    </sheetView>
  </sheetViews>
  <sheetFormatPr defaultRowHeight="13.2" x14ac:dyDescent="0.25"/>
  <cols>
    <col min="1" max="1" width="8.5546875" customWidth="1"/>
    <col min="2" max="2" width="8.88671875" customWidth="1"/>
    <col min="3" max="3" width="10.33203125" customWidth="1"/>
    <col min="4" max="4" width="11.33203125" customWidth="1"/>
    <col min="5" max="5" width="10" customWidth="1"/>
    <col min="6" max="6" width="11.33203125" customWidth="1"/>
    <col min="7" max="7" width="9.6640625" customWidth="1"/>
    <col min="8" max="8" width="5.5546875" bestFit="1" customWidth="1"/>
    <col min="9" max="9" width="12.109375" customWidth="1"/>
    <col min="10" max="10" width="11.5546875" customWidth="1"/>
    <col min="11" max="11" width="12.33203125" customWidth="1"/>
    <col min="12" max="12" width="11.109375" customWidth="1"/>
    <col min="13" max="13" width="16" customWidth="1"/>
    <col min="14" max="14" width="4.33203125" customWidth="1"/>
    <col min="15" max="15" width="54.5546875" customWidth="1"/>
    <col min="16" max="16" width="11" customWidth="1"/>
    <col min="17" max="21" width="9.109375" customWidth="1"/>
    <col min="22" max="22" width="12" customWidth="1"/>
    <col min="23" max="23" width="9.109375" customWidth="1"/>
    <col min="24" max="24" width="12.109375" customWidth="1"/>
    <col min="25" max="26" width="9.109375" customWidth="1"/>
    <col min="27" max="27" width="10.109375" customWidth="1"/>
    <col min="28" max="33" width="9.109375" customWidth="1"/>
    <col min="34" max="34" width="14.109375" customWidth="1"/>
    <col min="35" max="36" width="9.109375" customWidth="1"/>
  </cols>
  <sheetData>
    <row r="1" spans="1:15" ht="87" customHeight="1" x14ac:dyDescent="0.25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5" ht="33" customHeight="1" x14ac:dyDescent="0.5">
      <c r="C2" s="228" t="s">
        <v>92</v>
      </c>
      <c r="F2" s="223"/>
      <c r="G2" s="1"/>
      <c r="I2" s="1"/>
      <c r="J2" s="1"/>
    </row>
    <row r="3" spans="1:15" ht="12.75" customHeight="1" x14ac:dyDescent="0.25">
      <c r="C3" s="224" t="str">
        <f>IF('data-Vyplní jednotka !'!B4="","",CONCATENATE('data-Vyplní jednotka !'!W2,'data-Vyplní jednotka !'!B4,'data-Vyplní jednotka !'!Y2))</f>
        <v/>
      </c>
      <c r="F3" s="222"/>
      <c r="G3" s="222"/>
      <c r="I3" s="222"/>
      <c r="J3" s="222"/>
    </row>
    <row r="4" spans="1:15" ht="12.75" customHeight="1" x14ac:dyDescent="0.25">
      <c r="C4" s="225" t="str">
        <f>IF('data-Vyplní jednotka !'!B5="","",'data-Vyplní jednotka !'!B5)</f>
        <v/>
      </c>
      <c r="F4" s="190"/>
      <c r="G4" s="190"/>
      <c r="I4" s="190"/>
      <c r="J4" s="190"/>
    </row>
    <row r="5" spans="1:15" ht="16.5" customHeight="1" x14ac:dyDescent="0.4">
      <c r="C5" s="224" t="str">
        <f>IF('data-Vyplní jednotka !'!B6="","",CONCATENATE('data-Vyplní jednotka !'!A6,"",'data-Vyplní jednotka !'!B6))</f>
        <v/>
      </c>
      <c r="F5" s="2"/>
      <c r="G5" s="2"/>
    </row>
    <row r="6" spans="1:15" ht="16.5" customHeight="1" x14ac:dyDescent="0.25"/>
    <row r="7" spans="1:15" ht="17.25" customHeight="1" x14ac:dyDescent="0.3">
      <c r="A7" s="337" t="s">
        <v>0</v>
      </c>
      <c r="B7" s="337"/>
      <c r="C7" s="338"/>
      <c r="D7" s="277"/>
      <c r="E7" s="277"/>
      <c r="F7" s="277"/>
      <c r="G7" s="277"/>
      <c r="H7" s="277"/>
      <c r="I7" s="277"/>
      <c r="J7" s="277"/>
      <c r="K7" s="182"/>
      <c r="L7" s="5"/>
      <c r="M7" s="6"/>
      <c r="O7" s="230" t="s">
        <v>113</v>
      </c>
    </row>
    <row r="8" spans="1:15" ht="17.25" customHeight="1" x14ac:dyDescent="0.3">
      <c r="A8" s="7"/>
      <c r="B8" s="7"/>
      <c r="C8" s="7"/>
      <c r="D8" s="347" t="s">
        <v>2</v>
      </c>
      <c r="E8" s="347"/>
      <c r="F8" s="347"/>
      <c r="G8" s="4"/>
      <c r="H8" s="4"/>
      <c r="I8" s="4"/>
      <c r="J8" s="4"/>
      <c r="K8" s="4"/>
      <c r="L8" s="4"/>
      <c r="M8" s="3"/>
      <c r="O8" s="231"/>
    </row>
    <row r="9" spans="1:15" ht="17.399999999999999" x14ac:dyDescent="0.3">
      <c r="A9" s="337" t="s">
        <v>1</v>
      </c>
      <c r="B9" s="337"/>
      <c r="C9" s="338"/>
      <c r="D9" s="277"/>
      <c r="E9" s="277"/>
      <c r="F9" s="277"/>
      <c r="G9" s="277"/>
      <c r="H9" s="277"/>
      <c r="I9" s="277"/>
      <c r="J9" s="277"/>
      <c r="K9" s="277"/>
      <c r="L9" s="277"/>
      <c r="M9" s="3"/>
      <c r="O9" s="231"/>
    </row>
    <row r="10" spans="1:15" ht="17.399999999999999" x14ac:dyDescent="0.3">
      <c r="A10" s="337" t="s">
        <v>78</v>
      </c>
      <c r="B10" s="337"/>
      <c r="C10" s="338"/>
      <c r="D10" s="344"/>
      <c r="E10" s="345"/>
      <c r="F10" s="277"/>
      <c r="G10" s="71"/>
      <c r="H10" s="71"/>
      <c r="I10" s="71" t="s">
        <v>62</v>
      </c>
      <c r="J10" s="345"/>
      <c r="K10" s="345"/>
      <c r="L10" s="277"/>
      <c r="M10" s="3"/>
      <c r="O10" s="231" t="s">
        <v>115</v>
      </c>
    </row>
    <row r="11" spans="1:15" ht="9" customHeight="1" x14ac:dyDescent="0.3">
      <c r="A11" s="7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3"/>
      <c r="O11" s="231"/>
    </row>
    <row r="12" spans="1:15" ht="23.25" customHeight="1" x14ac:dyDescent="0.3">
      <c r="A12" s="339" t="s">
        <v>4</v>
      </c>
      <c r="B12" s="339"/>
      <c r="C12" s="340"/>
      <c r="D12" s="346"/>
      <c r="E12" s="346"/>
      <c r="F12" s="346"/>
      <c r="G12" s="346"/>
      <c r="H12" s="346"/>
      <c r="I12" s="346"/>
      <c r="J12" s="346"/>
      <c r="K12" s="346"/>
      <c r="L12" s="346"/>
      <c r="M12" s="3"/>
      <c r="O12" s="231" t="s">
        <v>72</v>
      </c>
    </row>
    <row r="13" spans="1:15" ht="19.5" customHeight="1" x14ac:dyDescent="0.3">
      <c r="A13" s="337" t="s">
        <v>5</v>
      </c>
      <c r="B13" s="337"/>
      <c r="C13" s="337"/>
      <c r="E13" s="8" t="s">
        <v>6</v>
      </c>
      <c r="F13" s="9"/>
      <c r="G13" s="8"/>
      <c r="H13" s="8" t="s">
        <v>7</v>
      </c>
      <c r="I13" s="9"/>
      <c r="J13" s="10"/>
      <c r="K13" s="4"/>
      <c r="L13" s="4"/>
      <c r="O13" s="231"/>
    </row>
    <row r="14" spans="1:15" ht="20.25" customHeight="1" x14ac:dyDescent="0.3">
      <c r="A14" s="337" t="s">
        <v>8</v>
      </c>
      <c r="B14" s="337"/>
      <c r="C14" s="338"/>
      <c r="D14" s="277"/>
      <c r="E14" s="277"/>
      <c r="F14" s="277"/>
      <c r="G14" s="277"/>
      <c r="H14" s="180"/>
      <c r="I14" s="4"/>
      <c r="J14" s="5"/>
      <c r="K14" s="11"/>
      <c r="L14" s="4"/>
      <c r="M14" s="3"/>
      <c r="O14" s="231"/>
    </row>
    <row r="15" spans="1:15" ht="9" customHeight="1" x14ac:dyDescent="0.3">
      <c r="A15" s="7"/>
      <c r="B15" s="7"/>
      <c r="C15" s="7"/>
      <c r="D15" s="4"/>
      <c r="E15" s="4"/>
      <c r="F15" s="4"/>
      <c r="G15" s="4"/>
      <c r="H15" s="4"/>
      <c r="I15" s="4"/>
      <c r="J15" s="4"/>
      <c r="K15" s="4"/>
      <c r="L15" s="4"/>
      <c r="M15" s="3"/>
      <c r="O15" s="231"/>
    </row>
    <row r="16" spans="1:15" ht="49.5" customHeight="1" x14ac:dyDescent="0.25">
      <c r="A16" s="339" t="s">
        <v>9</v>
      </c>
      <c r="B16" s="339"/>
      <c r="C16" s="340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O16" s="226" t="s">
        <v>73</v>
      </c>
    </row>
    <row r="17" spans="1:32" ht="12" customHeight="1" x14ac:dyDescent="0.3">
      <c r="A17" s="7"/>
      <c r="B17" s="7"/>
      <c r="C17" s="7"/>
      <c r="D17" s="4"/>
      <c r="E17" s="4"/>
      <c r="F17" s="4"/>
      <c r="G17" s="4"/>
      <c r="H17" s="4"/>
      <c r="I17" s="4"/>
      <c r="J17" s="4"/>
      <c r="K17" s="4"/>
      <c r="L17" s="4"/>
      <c r="M17" s="3"/>
      <c r="O17" s="262" t="s">
        <v>114</v>
      </c>
    </row>
    <row r="18" spans="1:32" ht="18.75" customHeight="1" x14ac:dyDescent="0.3">
      <c r="A18" s="337" t="s">
        <v>10</v>
      </c>
      <c r="B18" s="337"/>
      <c r="C18" s="338"/>
      <c r="D18" s="136" t="s">
        <v>130</v>
      </c>
      <c r="E18" s="342" t="str">
        <f>IF(D18="ano","typ","Dopravní prostředek")</f>
        <v>typ</v>
      </c>
      <c r="F18" s="342"/>
      <c r="G18" s="343"/>
      <c r="H18" s="343"/>
      <c r="I18" s="343"/>
      <c r="J18" s="343"/>
      <c r="K18" s="12" t="str">
        <f>IF(D18="ano","SPZ","")</f>
        <v>SPZ</v>
      </c>
      <c r="L18" s="277"/>
      <c r="M18" s="277"/>
      <c r="N18" s="13"/>
      <c r="O18" s="262"/>
    </row>
    <row r="19" spans="1:32" ht="21" customHeight="1" x14ac:dyDescent="0.3">
      <c r="A19" s="3"/>
      <c r="B19" s="3"/>
      <c r="C19" s="3"/>
      <c r="D19" s="4"/>
      <c r="E19" s="342"/>
      <c r="F19" s="342"/>
      <c r="G19" s="343"/>
      <c r="H19" s="343"/>
      <c r="I19" s="343"/>
      <c r="J19" s="343"/>
      <c r="K19" s="12" t="str">
        <f>IF(D18="ano","norma EU","")</f>
        <v>norma EU</v>
      </c>
      <c r="L19" s="277" t="s">
        <v>130</v>
      </c>
      <c r="M19" s="277"/>
      <c r="O19" s="262"/>
    </row>
    <row r="20" spans="1:32" ht="14.25" customHeight="1" x14ac:dyDescent="0.3">
      <c r="A20" s="3"/>
      <c r="B20" s="3"/>
      <c r="C20" s="15"/>
      <c r="D20" s="3"/>
      <c r="E20" s="3"/>
      <c r="F20" s="16"/>
      <c r="G20" s="3"/>
      <c r="H20" s="3"/>
      <c r="K20" s="3"/>
      <c r="L20" s="3"/>
      <c r="M20" s="3"/>
      <c r="O20" s="262"/>
      <c r="P20" s="17"/>
    </row>
    <row r="21" spans="1:32" ht="5.2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231"/>
    </row>
    <row r="22" spans="1:32" ht="27" customHeight="1" x14ac:dyDescent="0.3">
      <c r="A22" s="3"/>
      <c r="C22" s="3"/>
      <c r="D22" s="3"/>
      <c r="E22" s="3"/>
      <c r="F22" s="3"/>
      <c r="G22" s="3"/>
      <c r="H22" s="3"/>
      <c r="I22" s="3"/>
      <c r="K22" s="3"/>
      <c r="L22" s="3"/>
      <c r="M22" s="3"/>
      <c r="O22" s="262" t="s">
        <v>116</v>
      </c>
    </row>
    <row r="23" spans="1:32" ht="12.75" customHeight="1" x14ac:dyDescent="0.25">
      <c r="A23" s="19"/>
      <c r="B23" s="332" t="s">
        <v>12</v>
      </c>
      <c r="C23" s="332"/>
      <c r="D23" s="332"/>
      <c r="E23" s="332"/>
      <c r="F23" s="332"/>
      <c r="G23" s="19"/>
      <c r="H23" s="19"/>
      <c r="I23" s="19"/>
      <c r="J23" s="332" t="str">
        <f>IF(J24="","","…………………………..………….…………………………")</f>
        <v/>
      </c>
      <c r="K23" s="332"/>
      <c r="L23" s="332"/>
      <c r="M23" s="332"/>
      <c r="O23" s="262"/>
    </row>
    <row r="24" spans="1:32" ht="12.75" customHeight="1" x14ac:dyDescent="0.25">
      <c r="A24" s="19"/>
      <c r="B24" s="18" t="s">
        <v>11</v>
      </c>
      <c r="G24" s="19"/>
      <c r="H24" s="19"/>
      <c r="I24" s="19"/>
      <c r="J24" s="333" t="str">
        <f>IF(K7="ano","Datum a podpis vedoucího pracovníka:","")</f>
        <v/>
      </c>
      <c r="K24" s="333"/>
      <c r="L24" s="333"/>
      <c r="M24" s="333"/>
      <c r="O24" s="262"/>
    </row>
    <row r="25" spans="1:32" ht="12.75" customHeight="1" x14ac:dyDescent="0.3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62"/>
    </row>
    <row r="26" spans="1:32" ht="7.5" customHeight="1" x14ac:dyDescent="0.25">
      <c r="O26" s="262"/>
    </row>
    <row r="27" spans="1:32" ht="27" customHeight="1" x14ac:dyDescent="0.3">
      <c r="B27" s="22" t="s">
        <v>13</v>
      </c>
      <c r="F27" s="10"/>
      <c r="G27" s="10"/>
      <c r="H27" s="10"/>
      <c r="I27" s="10"/>
      <c r="J27" s="10"/>
      <c r="K27" s="10"/>
      <c r="L27" s="10"/>
      <c r="M27" s="10"/>
      <c r="O27" s="262"/>
      <c r="S27" s="10"/>
    </row>
    <row r="28" spans="1:32" ht="10.5" customHeight="1" x14ac:dyDescent="0.25">
      <c r="C28" s="23"/>
      <c r="D28" s="23"/>
      <c r="E28" s="23"/>
      <c r="F28" s="29"/>
      <c r="G28" s="29"/>
      <c r="H28" s="29"/>
      <c r="I28" s="29"/>
      <c r="J28" s="29"/>
      <c r="K28" s="29"/>
      <c r="L28" s="29"/>
      <c r="M28" s="29"/>
      <c r="N28" s="23"/>
      <c r="O28" s="261" t="s">
        <v>117</v>
      </c>
      <c r="S28" s="10"/>
      <c r="U28" s="10"/>
      <c r="V28" s="10"/>
      <c r="W28" s="10"/>
      <c r="X28" s="10"/>
      <c r="Y28" s="10"/>
      <c r="Z28" s="10"/>
      <c r="AA28" s="10"/>
      <c r="AD28" s="10"/>
      <c r="AE28" s="10"/>
      <c r="AF28" s="10"/>
    </row>
    <row r="29" spans="1:32" ht="25.5" customHeight="1" x14ac:dyDescent="0.25">
      <c r="K29" s="29"/>
      <c r="L29" s="29"/>
      <c r="M29" s="29"/>
      <c r="O29" s="261"/>
      <c r="S29" s="10"/>
    </row>
    <row r="30" spans="1:32" ht="12.75" customHeight="1" x14ac:dyDescent="0.25">
      <c r="A30" s="10" t="s">
        <v>14</v>
      </c>
      <c r="C30" s="10"/>
      <c r="E30" s="232" t="s">
        <v>126</v>
      </c>
      <c r="F30" s="232"/>
      <c r="G30" s="232"/>
      <c r="H30" s="232"/>
      <c r="I30" s="233"/>
      <c r="J30" s="334" t="str">
        <f>IF(J31="","","…………………………………………………...…………….")</f>
        <v/>
      </c>
      <c r="K30" s="334"/>
      <c r="L30" s="334"/>
      <c r="M30" s="334"/>
      <c r="N30" s="29"/>
      <c r="O30" s="261"/>
      <c r="S30" s="10"/>
    </row>
    <row r="31" spans="1:32" ht="12.75" customHeight="1" x14ac:dyDescent="0.25">
      <c r="A31" s="10"/>
      <c r="B31" s="10"/>
      <c r="E31" s="333" t="s">
        <v>16</v>
      </c>
      <c r="F31" s="333"/>
      <c r="G31" s="333"/>
      <c r="H31" s="333"/>
      <c r="I31" s="18"/>
      <c r="J31" s="333" t="str">
        <f>IF(K7="ano","Datum a podpis nadřízeného pracovníka","")</f>
        <v/>
      </c>
      <c r="K31" s="333"/>
      <c r="L31" s="333"/>
      <c r="M31" s="333"/>
      <c r="O31" s="261"/>
    </row>
    <row r="32" spans="1:32" ht="15.6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231"/>
    </row>
    <row r="33" spans="1:19" ht="13.8" thickBot="1" x14ac:dyDescent="0.3">
      <c r="B33" s="10"/>
      <c r="C33" s="31"/>
      <c r="D33" s="10"/>
      <c r="E33" s="10"/>
      <c r="F33" s="10"/>
      <c r="O33" s="262" t="s">
        <v>118</v>
      </c>
      <c r="R33" s="10"/>
      <c r="S33" s="10"/>
    </row>
    <row r="34" spans="1:19" ht="13.8" thickBot="1" x14ac:dyDescent="0.3">
      <c r="B34" s="321" t="str">
        <f>IF(D18="ano","Cena Phm/l v Kč","")</f>
        <v>Cena Phm/l v Kč</v>
      </c>
      <c r="C34" s="322"/>
      <c r="D34" s="323" t="str">
        <f>IF(D18="ano",IF(C35="","Nemám doklad",""),"")</f>
        <v>Nemám doklad</v>
      </c>
      <c r="E34" s="325" t="str">
        <f>IF(D34="","","Druh Phm")</f>
        <v>Druh Phm</v>
      </c>
      <c r="F34" s="326"/>
      <c r="J34" t="str">
        <f>IF(D18="ano","Spotřeba dle TP","")</f>
        <v>Spotřeba dle TP</v>
      </c>
      <c r="N34" s="111"/>
      <c r="O34" s="262"/>
      <c r="R34" s="10"/>
      <c r="S34" s="10"/>
    </row>
    <row r="35" spans="1:19" ht="15" customHeight="1" thickBot="1" x14ac:dyDescent="0.35">
      <c r="B35" s="227" t="str">
        <f>IF(F13="","",IF(C35="",IF(E35="Natural 95",'data-Vyplní jednotka !'!AA8,IF(E35="Nafta",'data-Vyplní jednotka !'!AA7,"")),""))</f>
        <v/>
      </c>
      <c r="C35" s="189"/>
      <c r="D35" s="324"/>
      <c r="E35" s="327"/>
      <c r="F35" s="328"/>
      <c r="J35" s="32" t="str">
        <f>IF(D18="ano","1","")</f>
        <v>1</v>
      </c>
      <c r="K35" s="33" t="str">
        <f>IF(D18="ano","2","")</f>
        <v>2</v>
      </c>
      <c r="L35" s="34" t="str">
        <f>IF(D18="ano", "3","")</f>
        <v>3</v>
      </c>
      <c r="N35" s="112"/>
      <c r="O35" s="262"/>
      <c r="R35" s="10"/>
      <c r="S35" s="10"/>
    </row>
    <row r="36" spans="1:19" ht="13.8" thickBot="1" x14ac:dyDescent="0.3">
      <c r="J36" s="35"/>
      <c r="K36" s="36"/>
      <c r="L36" s="37"/>
      <c r="M36" s="131">
        <f>IF(D18="ne","",IF(D18="","",IF(L19="ne",((J36+K36+L36)/3),L36)))</f>
        <v>0</v>
      </c>
      <c r="O36" s="262"/>
      <c r="R36" s="10"/>
      <c r="S36" s="10"/>
    </row>
    <row r="37" spans="1:19" ht="14.4" thickBot="1" x14ac:dyDescent="0.3">
      <c r="A37" s="329" t="s">
        <v>20</v>
      </c>
      <c r="B37" s="329"/>
      <c r="O37" s="262"/>
      <c r="R37" s="10"/>
      <c r="S37" s="10"/>
    </row>
    <row r="38" spans="1:19" ht="12.75" customHeight="1" x14ac:dyDescent="0.25">
      <c r="A38" s="306" t="s">
        <v>38</v>
      </c>
      <c r="B38" s="307"/>
      <c r="C38" s="38" t="s">
        <v>21</v>
      </c>
      <c r="D38" s="234" t="s">
        <v>22</v>
      </c>
      <c r="E38" s="330" t="s">
        <v>23</v>
      </c>
      <c r="F38" s="331"/>
      <c r="G38" s="308" t="str">
        <f>IF(D18="ano","Ujeté Km","")</f>
        <v>Ujeté Km</v>
      </c>
      <c r="H38" s="308" t="s">
        <v>91</v>
      </c>
      <c r="I38" s="310" t="s">
        <v>79</v>
      </c>
      <c r="J38" s="39" t="s">
        <v>24</v>
      </c>
      <c r="K38" s="335" t="s">
        <v>17</v>
      </c>
      <c r="L38" s="41" t="s">
        <v>25</v>
      </c>
      <c r="M38" s="312" t="s">
        <v>26</v>
      </c>
      <c r="O38" s="262"/>
      <c r="R38" s="10"/>
      <c r="S38" s="10"/>
    </row>
    <row r="39" spans="1:19" ht="15" customHeight="1" thickBot="1" x14ac:dyDescent="0.3">
      <c r="A39" t="s">
        <v>39</v>
      </c>
      <c r="B39" t="s">
        <v>40</v>
      </c>
      <c r="C39" s="44"/>
      <c r="D39" s="235" t="s">
        <v>32</v>
      </c>
      <c r="E39" s="314" t="s">
        <v>33</v>
      </c>
      <c r="F39" s="315"/>
      <c r="G39" s="309"/>
      <c r="H39" s="309"/>
      <c r="I39" s="311"/>
      <c r="J39" s="45" t="s">
        <v>34</v>
      </c>
      <c r="K39" s="336"/>
      <c r="L39" s="46" t="s">
        <v>35</v>
      </c>
      <c r="M39" s="313"/>
      <c r="O39" s="262"/>
      <c r="R39" s="10"/>
      <c r="S39" s="10"/>
    </row>
    <row r="40" spans="1:19" ht="13.8" thickBot="1" x14ac:dyDescent="0.3">
      <c r="A40" s="54">
        <f>F13</f>
        <v>0</v>
      </c>
      <c r="B40" s="56" t="str">
        <f>IF(D40="","",D40)</f>
        <v/>
      </c>
      <c r="C40" s="316"/>
      <c r="D40" s="50"/>
      <c r="E40" s="318"/>
      <c r="F40" s="319"/>
      <c r="G40" s="303"/>
      <c r="H40" s="303"/>
      <c r="I40" s="320"/>
      <c r="J40" s="303"/>
      <c r="K40" s="303"/>
      <c r="L40" s="304"/>
      <c r="M40" s="305" t="str">
        <f>IF(C40="","",IF('data-Vyplní jednotka !'!X13=0,"",'data-Vyplní jednotka !'!X13))</f>
        <v/>
      </c>
      <c r="O40" s="262"/>
      <c r="R40" s="10"/>
      <c r="S40" s="10"/>
    </row>
    <row r="41" spans="1:19" ht="15.6" x14ac:dyDescent="0.3">
      <c r="A41" s="306" t="s">
        <v>41</v>
      </c>
      <c r="B41" s="307"/>
      <c r="C41" s="317"/>
      <c r="D41" s="52"/>
      <c r="E41" s="286"/>
      <c r="F41" s="287"/>
      <c r="G41" s="289"/>
      <c r="H41" s="289"/>
      <c r="I41" s="298"/>
      <c r="J41" s="289"/>
      <c r="K41" s="289"/>
      <c r="L41" s="283"/>
      <c r="M41" s="285"/>
      <c r="O41" s="231"/>
      <c r="R41" s="10"/>
      <c r="S41" s="10"/>
    </row>
    <row r="42" spans="1:19" ht="16.2" thickBot="1" x14ac:dyDescent="0.35">
      <c r="A42" t="s">
        <v>39</v>
      </c>
      <c r="B42" t="s">
        <v>40</v>
      </c>
      <c r="C42" s="295"/>
      <c r="D42" s="55"/>
      <c r="E42" s="286"/>
      <c r="F42" s="287"/>
      <c r="G42" s="288"/>
      <c r="H42" s="288"/>
      <c r="I42" s="297"/>
      <c r="J42" s="288"/>
      <c r="K42" s="288"/>
      <c r="L42" s="282"/>
      <c r="M42" s="284" t="str">
        <f>IF(C42="","",IF('data-Vyplní jednotka !'!X14=0,"",'data-Vyplní jednotka !'!X14))</f>
        <v/>
      </c>
      <c r="O42" s="231"/>
      <c r="R42" s="10"/>
      <c r="S42" s="10"/>
    </row>
    <row r="43" spans="1:19" ht="16.2" thickBot="1" x14ac:dyDescent="0.35">
      <c r="A43" s="54">
        <f>I13</f>
        <v>0</v>
      </c>
      <c r="B43" s="56">
        <f>IF(C42="",D41,IF(C44="",D43,IF(C46="",D45,IF(C48="",D47,IF(C50="",D49,IF(C52="",D51,IF(C54="",D53,D55)))))))</f>
        <v>0</v>
      </c>
      <c r="C43" s="296"/>
      <c r="D43" s="55"/>
      <c r="E43" s="286"/>
      <c r="F43" s="287"/>
      <c r="G43" s="289"/>
      <c r="H43" s="289"/>
      <c r="I43" s="298"/>
      <c r="J43" s="289"/>
      <c r="K43" s="289"/>
      <c r="L43" s="283"/>
      <c r="M43" s="285"/>
      <c r="O43" s="231"/>
      <c r="R43" s="10"/>
      <c r="S43" s="10"/>
    </row>
    <row r="44" spans="1:19" x14ac:dyDescent="0.25">
      <c r="C44" s="295"/>
      <c r="D44" s="55"/>
      <c r="E44" s="286"/>
      <c r="F44" s="287"/>
      <c r="G44" s="288"/>
      <c r="H44" s="288"/>
      <c r="I44" s="297"/>
      <c r="J44" s="288"/>
      <c r="K44" s="288"/>
      <c r="L44" s="282"/>
      <c r="M44" s="284" t="str">
        <f>IF(C44="","",IF('data-Vyplní jednotka !'!X15=0,"",'data-Vyplní jednotka !'!X15))</f>
        <v/>
      </c>
      <c r="O44" s="262" t="s">
        <v>127</v>
      </c>
      <c r="R44" s="10"/>
      <c r="S44" s="10"/>
    </row>
    <row r="45" spans="1:19" x14ac:dyDescent="0.25">
      <c r="C45" s="296"/>
      <c r="D45" s="55"/>
      <c r="E45" s="286"/>
      <c r="F45" s="287"/>
      <c r="G45" s="289"/>
      <c r="H45" s="289"/>
      <c r="I45" s="298"/>
      <c r="J45" s="289"/>
      <c r="K45" s="289"/>
      <c r="L45" s="283"/>
      <c r="M45" s="285"/>
      <c r="O45" s="262"/>
      <c r="R45" s="10"/>
      <c r="S45" s="10"/>
    </row>
    <row r="46" spans="1:19" x14ac:dyDescent="0.25">
      <c r="A46" s="301" t="s">
        <v>58</v>
      </c>
      <c r="B46" s="302"/>
      <c r="C46" s="295"/>
      <c r="D46" s="55"/>
      <c r="E46" s="286"/>
      <c r="F46" s="287"/>
      <c r="G46" s="288"/>
      <c r="H46" s="288"/>
      <c r="I46" s="297"/>
      <c r="J46" s="288"/>
      <c r="K46" s="288"/>
      <c r="L46" s="282"/>
      <c r="M46" s="284" t="str">
        <f>IF(C46="","",IF('data-Vyplní jednotka !'!X16=0,"",'data-Vyplní jednotka !'!X16))</f>
        <v/>
      </c>
      <c r="O46" s="262"/>
      <c r="R46" s="10"/>
      <c r="S46" s="10"/>
    </row>
    <row r="47" spans="1:19" x14ac:dyDescent="0.25">
      <c r="A47" s="301"/>
      <c r="B47" s="302"/>
      <c r="C47" s="296"/>
      <c r="D47" s="55"/>
      <c r="E47" s="286"/>
      <c r="F47" s="287"/>
      <c r="G47" s="289"/>
      <c r="H47" s="289"/>
      <c r="I47" s="298"/>
      <c r="J47" s="289"/>
      <c r="K47" s="289"/>
      <c r="L47" s="283"/>
      <c r="M47" s="285"/>
      <c r="O47" s="262"/>
      <c r="R47" s="10"/>
      <c r="S47" s="10"/>
    </row>
    <row r="48" spans="1:19" ht="13.8" x14ac:dyDescent="0.25">
      <c r="A48" s="132" t="str">
        <f>IF('data-Vyplní jednotka !'!X7=0,"",'data-Vyplní jednotka !'!X7)</f>
        <v/>
      </c>
      <c r="C48" s="295"/>
      <c r="D48" s="55"/>
      <c r="E48" s="286"/>
      <c r="F48" s="287"/>
      <c r="G48" s="288"/>
      <c r="H48" s="288"/>
      <c r="I48" s="297"/>
      <c r="J48" s="288"/>
      <c r="K48" s="288"/>
      <c r="L48" s="282"/>
      <c r="M48" s="284" t="str">
        <f>IF(C48="","",IF('data-Vyplní jednotka !'!X17=0,"",'data-Vyplní jednotka !'!X17))</f>
        <v/>
      </c>
      <c r="O48" s="262"/>
      <c r="R48" s="10"/>
      <c r="S48" s="10"/>
    </row>
    <row r="49" spans="1:21" x14ac:dyDescent="0.25">
      <c r="A49" s="179" t="s">
        <v>100</v>
      </c>
      <c r="B49" s="193">
        <f>'data-Vyplní jednotka !'!B10</f>
        <v>15</v>
      </c>
      <c r="C49" s="296"/>
      <c r="D49" s="55"/>
      <c r="E49" s="286"/>
      <c r="F49" s="287"/>
      <c r="G49" s="289"/>
      <c r="H49" s="289"/>
      <c r="I49" s="298"/>
      <c r="J49" s="289"/>
      <c r="K49" s="289"/>
      <c r="L49" s="283"/>
      <c r="M49" s="285"/>
      <c r="O49" s="262"/>
      <c r="R49" s="10"/>
      <c r="S49" s="10"/>
    </row>
    <row r="50" spans="1:21" ht="15.6" x14ac:dyDescent="0.3">
      <c r="C50" s="295"/>
      <c r="D50" s="55"/>
      <c r="E50" s="286"/>
      <c r="F50" s="287"/>
      <c r="G50" s="288"/>
      <c r="H50" s="288"/>
      <c r="I50" s="297"/>
      <c r="J50" s="288"/>
      <c r="K50" s="288"/>
      <c r="L50" s="282"/>
      <c r="M50" s="284" t="str">
        <f>IF(C50="","",IF('data-Vyplní jednotka !'!X18=0,"",'data-Vyplní jednotka !'!X18))</f>
        <v/>
      </c>
      <c r="O50" s="231"/>
      <c r="R50" s="10"/>
      <c r="S50" s="10"/>
    </row>
    <row r="51" spans="1:21" ht="15.6" x14ac:dyDescent="0.3">
      <c r="C51" s="296"/>
      <c r="D51" s="55"/>
      <c r="E51" s="286"/>
      <c r="F51" s="287"/>
      <c r="G51" s="289"/>
      <c r="H51" s="289"/>
      <c r="I51" s="298"/>
      <c r="J51" s="289"/>
      <c r="K51" s="289"/>
      <c r="L51" s="283"/>
      <c r="M51" s="285"/>
      <c r="O51" s="231"/>
      <c r="R51" s="10"/>
      <c r="S51" s="10"/>
    </row>
    <row r="52" spans="1:21" ht="15.6" x14ac:dyDescent="0.3">
      <c r="C52" s="295"/>
      <c r="D52" s="55"/>
      <c r="E52" s="286"/>
      <c r="F52" s="287"/>
      <c r="G52" s="288"/>
      <c r="H52" s="288"/>
      <c r="I52" s="297"/>
      <c r="J52" s="288"/>
      <c r="K52" s="288"/>
      <c r="L52" s="282"/>
      <c r="M52" s="284" t="str">
        <f>IF(C52="","",IF('data-Vyplní jednotka !'!X19=0,"",'data-Vyplní jednotka !'!X19))</f>
        <v/>
      </c>
      <c r="O52" s="231"/>
      <c r="R52" s="10"/>
      <c r="S52" s="10"/>
    </row>
    <row r="53" spans="1:21" ht="15.6" x14ac:dyDescent="0.3">
      <c r="C53" s="296"/>
      <c r="D53" s="55"/>
      <c r="E53" s="286"/>
      <c r="F53" s="287"/>
      <c r="G53" s="289"/>
      <c r="H53" s="289"/>
      <c r="I53" s="298"/>
      <c r="J53" s="289"/>
      <c r="K53" s="289"/>
      <c r="L53" s="283"/>
      <c r="M53" s="285"/>
      <c r="O53" s="231"/>
      <c r="R53" s="10"/>
      <c r="S53" s="10"/>
    </row>
    <row r="54" spans="1:21" ht="15.6" x14ac:dyDescent="0.3">
      <c r="C54" s="295"/>
      <c r="D54" s="55"/>
      <c r="E54" s="286"/>
      <c r="F54" s="287"/>
      <c r="G54" s="288"/>
      <c r="H54" s="288"/>
      <c r="I54" s="297"/>
      <c r="J54" s="288"/>
      <c r="K54" s="288"/>
      <c r="L54" s="282"/>
      <c r="M54" s="284" t="str">
        <f>IF(C54="","",IF('data-Vyplní jednotka !'!X20=0,"",'data-Vyplní jednotka !'!X20))</f>
        <v/>
      </c>
      <c r="O54" s="231"/>
      <c r="R54" s="10"/>
      <c r="S54" s="10"/>
    </row>
    <row r="55" spans="1:21" ht="16.2" thickBot="1" x14ac:dyDescent="0.35">
      <c r="C55" s="299"/>
      <c r="D55" s="57"/>
      <c r="E55" s="293"/>
      <c r="F55" s="294"/>
      <c r="G55" s="290"/>
      <c r="H55" s="290"/>
      <c r="I55" s="300"/>
      <c r="J55" s="290"/>
      <c r="K55" s="290"/>
      <c r="L55" s="291"/>
      <c r="M55" s="292"/>
      <c r="O55" s="231" t="s">
        <v>121</v>
      </c>
      <c r="R55" s="10"/>
      <c r="S55" s="10"/>
    </row>
    <row r="56" spans="1:21" ht="20.25" customHeight="1" thickBot="1" x14ac:dyDescent="0.3">
      <c r="C56" s="114"/>
      <c r="D56" s="58"/>
      <c r="E56" s="58"/>
      <c r="F56" s="31"/>
      <c r="G56" s="113"/>
      <c r="H56" s="113"/>
      <c r="I56" s="113"/>
      <c r="J56" s="113"/>
      <c r="K56" s="280" t="s">
        <v>56</v>
      </c>
      <c r="L56" s="281"/>
      <c r="M56" s="178">
        <f>'data-Vyplní jednotka !'!X23</f>
        <v>0</v>
      </c>
      <c r="O56" s="262" t="s">
        <v>120</v>
      </c>
      <c r="R56" s="10"/>
      <c r="S56" s="10"/>
      <c r="U56" s="10"/>
    </row>
    <row r="57" spans="1:21" ht="21" customHeight="1" thickBot="1" x14ac:dyDescent="0.3">
      <c r="A57" s="186"/>
      <c r="B57" s="186"/>
      <c r="C57" s="186"/>
      <c r="D57" s="186"/>
      <c r="E57" s="186"/>
      <c r="F57" s="186"/>
      <c r="K57" s="269" t="s">
        <v>43</v>
      </c>
      <c r="L57" s="270"/>
      <c r="M57" s="133"/>
      <c r="O57" s="262"/>
      <c r="R57" s="10"/>
      <c r="S57" s="10"/>
    </row>
    <row r="58" spans="1:21" ht="17.25" customHeight="1" x14ac:dyDescent="0.25">
      <c r="A58" s="183"/>
      <c r="B58" s="184"/>
      <c r="C58" s="185"/>
      <c r="D58" s="183"/>
      <c r="E58" s="184"/>
      <c r="F58" s="185"/>
      <c r="J58" s="60"/>
      <c r="K58" s="271" t="s">
        <v>45</v>
      </c>
      <c r="L58" s="272"/>
      <c r="M58" s="275">
        <f>ROUND(M56-M57,0)</f>
        <v>0</v>
      </c>
      <c r="O58" s="262"/>
      <c r="R58" s="10"/>
      <c r="S58" s="10"/>
    </row>
    <row r="59" spans="1:21" ht="16.5" customHeight="1" thickBot="1" x14ac:dyDescent="0.3">
      <c r="F59" s="185"/>
      <c r="K59" s="273"/>
      <c r="L59" s="274"/>
      <c r="M59" s="276"/>
      <c r="O59" s="262" t="s">
        <v>122</v>
      </c>
      <c r="R59" s="10"/>
      <c r="S59" s="10"/>
    </row>
    <row r="60" spans="1:21" ht="16.5" customHeight="1" thickBot="1" x14ac:dyDescent="0.3">
      <c r="A60" s="183"/>
      <c r="B60" s="266" t="s">
        <v>44</v>
      </c>
      <c r="C60" s="266"/>
      <c r="D60" s="266"/>
      <c r="E60" s="129">
        <v>0</v>
      </c>
      <c r="F60" s="185"/>
      <c r="G60" s="60"/>
      <c r="H60" s="60"/>
      <c r="I60" s="60"/>
      <c r="J60" s="60"/>
      <c r="O60" s="262"/>
      <c r="R60" s="10"/>
      <c r="S60" s="10"/>
    </row>
    <row r="61" spans="1:21" ht="16.5" customHeight="1" x14ac:dyDescent="0.25">
      <c r="A61" s="183"/>
      <c r="B61" s="184"/>
      <c r="C61" s="185"/>
      <c r="D61" s="183"/>
      <c r="E61" s="184"/>
      <c r="F61" s="185"/>
      <c r="G61" s="60"/>
      <c r="H61" s="60"/>
      <c r="I61" s="60"/>
      <c r="J61" s="60"/>
      <c r="O61" s="262"/>
      <c r="R61" s="10"/>
      <c r="S61" s="10"/>
    </row>
    <row r="62" spans="1:21" ht="16.5" customHeight="1" x14ac:dyDescent="0.3">
      <c r="A62" s="183"/>
      <c r="E62" s="184"/>
      <c r="F62" s="185"/>
      <c r="O62" s="231"/>
      <c r="R62" s="10"/>
      <c r="S62" s="10"/>
    </row>
    <row r="63" spans="1:21" ht="16.5" customHeight="1" x14ac:dyDescent="0.3">
      <c r="A63" s="183"/>
      <c r="E63" s="184"/>
      <c r="F63" s="185"/>
      <c r="G63" s="265" t="s">
        <v>47</v>
      </c>
      <c r="H63" s="265"/>
      <c r="I63" s="265"/>
      <c r="J63" s="265"/>
      <c r="K63" s="265"/>
      <c r="L63" s="265"/>
      <c r="M63" s="265"/>
      <c r="O63" s="231"/>
      <c r="R63" s="10"/>
      <c r="S63" s="10"/>
    </row>
    <row r="64" spans="1:21" ht="16.5" customHeight="1" x14ac:dyDescent="0.25">
      <c r="A64" s="183"/>
      <c r="E64" s="184"/>
      <c r="F64" s="185"/>
      <c r="O64" s="262" t="s">
        <v>76</v>
      </c>
      <c r="R64" s="10"/>
      <c r="S64" s="10"/>
    </row>
    <row r="65" spans="1:34" ht="16.5" customHeight="1" x14ac:dyDescent="0.25">
      <c r="A65" s="183"/>
      <c r="B65" s="184"/>
      <c r="C65" s="185"/>
      <c r="D65" s="183"/>
      <c r="E65" s="184"/>
      <c r="F65" s="185"/>
      <c r="G65" s="130"/>
      <c r="H65" s="130"/>
      <c r="I65" s="130"/>
      <c r="O65" s="262"/>
      <c r="R65" s="10"/>
      <c r="S65" s="10"/>
    </row>
    <row r="66" spans="1:34" ht="16.5" customHeight="1" x14ac:dyDescent="0.3">
      <c r="A66" s="183"/>
      <c r="B66" s="63"/>
      <c r="C66" s="64"/>
      <c r="D66" s="65"/>
      <c r="E66" s="184"/>
      <c r="F66" s="185"/>
      <c r="G66" s="60"/>
      <c r="H66" s="60"/>
      <c r="I66" s="187"/>
      <c r="J66" s="188"/>
      <c r="K66" s="188"/>
      <c r="L66" s="188"/>
      <c r="M66" s="188"/>
      <c r="O66" s="231"/>
      <c r="R66" s="10"/>
      <c r="S66" s="31"/>
    </row>
    <row r="67" spans="1:34" ht="21.75" customHeight="1" x14ac:dyDescent="0.3">
      <c r="A67" s="183"/>
      <c r="B67" s="181" t="s">
        <v>93</v>
      </c>
      <c r="C67" s="277"/>
      <c r="D67" s="278"/>
      <c r="E67" s="184"/>
      <c r="F67" s="185"/>
      <c r="G67" s="60"/>
      <c r="H67" s="60"/>
      <c r="I67" s="279" t="s">
        <v>48</v>
      </c>
      <c r="J67" s="279"/>
      <c r="K67" s="279"/>
      <c r="L67" s="279"/>
      <c r="M67" s="279"/>
      <c r="O67" s="262" t="s">
        <v>129</v>
      </c>
      <c r="R67" s="10"/>
      <c r="S67" s="31"/>
    </row>
    <row r="68" spans="1:34" ht="11.25" customHeight="1" x14ac:dyDescent="0.25">
      <c r="A68" s="31"/>
      <c r="B68" s="66"/>
      <c r="C68" s="267"/>
      <c r="D68" s="268"/>
      <c r="H68" s="60"/>
      <c r="O68" s="262"/>
      <c r="R68" s="10"/>
      <c r="S68" s="31"/>
    </row>
    <row r="69" spans="1:34" ht="16.5" customHeight="1" x14ac:dyDescent="0.25">
      <c r="A69" s="31"/>
      <c r="B69" s="31"/>
      <c r="C69" s="59"/>
      <c r="D69" s="58"/>
      <c r="E69" s="58"/>
      <c r="F69" s="111"/>
      <c r="J69" s="60"/>
      <c r="O69" s="262"/>
      <c r="S69" s="31"/>
    </row>
    <row r="70" spans="1:34" ht="16.5" customHeight="1" x14ac:dyDescent="0.25">
      <c r="B70" s="135"/>
      <c r="C70" s="135"/>
      <c r="D70" s="135"/>
      <c r="I70" s="60"/>
      <c r="J70" s="60"/>
      <c r="O70" s="262"/>
      <c r="S70" s="31"/>
    </row>
    <row r="71" spans="1:34" ht="15.75" customHeight="1" x14ac:dyDescent="0.25">
      <c r="E71" s="58"/>
      <c r="F71" s="31"/>
      <c r="G71" s="60"/>
      <c r="H71" s="60"/>
      <c r="L71" s="31"/>
      <c r="O71" s="262"/>
      <c r="S71" s="31"/>
      <c r="U71" s="31"/>
      <c r="V71" s="127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5">
      <c r="A72" s="10"/>
      <c r="B72" s="10"/>
      <c r="C72" s="10"/>
      <c r="S72" s="31"/>
      <c r="U72" s="31"/>
      <c r="V72" s="127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5">
      <c r="A73" s="10"/>
      <c r="B73" s="10"/>
      <c r="C73" s="10"/>
      <c r="S73" s="31"/>
      <c r="T73" s="31"/>
      <c r="U73" s="31"/>
      <c r="V73" s="127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5">
      <c r="S74" s="31"/>
      <c r="T74" s="31"/>
      <c r="U74" s="31"/>
      <c r="V74" s="127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5">
      <c r="S75" s="31"/>
      <c r="T75" s="31"/>
      <c r="U75" s="31"/>
      <c r="V75" s="127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5">
      <c r="S76" s="31"/>
      <c r="T76" s="31"/>
      <c r="U76" s="31"/>
      <c r="V76" s="12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5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5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5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5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9:34" x14ac:dyDescent="0.25">
      <c r="S81" s="31"/>
      <c r="T81" s="31"/>
      <c r="U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9:34" x14ac:dyDescent="0.25">
      <c r="S82" s="31"/>
      <c r="T82" s="31"/>
      <c r="U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9:34" x14ac:dyDescent="0.25">
      <c r="S83" s="31"/>
      <c r="T83" s="31"/>
      <c r="U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9:34" x14ac:dyDescent="0.25">
      <c r="S84" s="31"/>
      <c r="T84" s="31"/>
      <c r="U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9:34" x14ac:dyDescent="0.25">
      <c r="S85" s="31"/>
      <c r="T85" s="31"/>
      <c r="U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9:34" x14ac:dyDescent="0.25">
      <c r="S86" s="31"/>
      <c r="T86" s="31"/>
      <c r="U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9:34" x14ac:dyDescent="0.25">
      <c r="S87" s="31"/>
      <c r="T87" s="31"/>
    </row>
  </sheetData>
  <mergeCells count="140">
    <mergeCell ref="A9:C9"/>
    <mergeCell ref="D9:L9"/>
    <mergeCell ref="A10:C10"/>
    <mergeCell ref="D10:F10"/>
    <mergeCell ref="J10:L10"/>
    <mergeCell ref="A12:C12"/>
    <mergeCell ref="D12:L12"/>
    <mergeCell ref="A7:C7"/>
    <mergeCell ref="D8:F8"/>
    <mergeCell ref="D7:J7"/>
    <mergeCell ref="A13:C13"/>
    <mergeCell ref="A14:C14"/>
    <mergeCell ref="D14:G14"/>
    <mergeCell ref="A16:C16"/>
    <mergeCell ref="D16:M16"/>
    <mergeCell ref="A18:C18"/>
    <mergeCell ref="E18:F19"/>
    <mergeCell ref="G18:J19"/>
    <mergeCell ref="L18:M18"/>
    <mergeCell ref="L19:M19"/>
    <mergeCell ref="B34:C34"/>
    <mergeCell ref="D34:D35"/>
    <mergeCell ref="E34:F34"/>
    <mergeCell ref="E35:F35"/>
    <mergeCell ref="A37:B37"/>
    <mergeCell ref="A38:B38"/>
    <mergeCell ref="E38:F38"/>
    <mergeCell ref="B23:F23"/>
    <mergeCell ref="J23:M23"/>
    <mergeCell ref="J24:M24"/>
    <mergeCell ref="J30:M30"/>
    <mergeCell ref="E31:H31"/>
    <mergeCell ref="J31:M31"/>
    <mergeCell ref="K38:K39"/>
    <mergeCell ref="J40:J41"/>
    <mergeCell ref="K40:K41"/>
    <mergeCell ref="L40:L41"/>
    <mergeCell ref="M40:M41"/>
    <mergeCell ref="A41:B41"/>
    <mergeCell ref="E41:F41"/>
    <mergeCell ref="G38:G39"/>
    <mergeCell ref="H38:H39"/>
    <mergeCell ref="I38:I39"/>
    <mergeCell ref="M38:M39"/>
    <mergeCell ref="E39:F39"/>
    <mergeCell ref="C40:C41"/>
    <mergeCell ref="E40:F40"/>
    <mergeCell ref="G40:G41"/>
    <mergeCell ref="H40:H41"/>
    <mergeCell ref="I40:I41"/>
    <mergeCell ref="K42:K43"/>
    <mergeCell ref="L42:L43"/>
    <mergeCell ref="M42:M43"/>
    <mergeCell ref="E43:F43"/>
    <mergeCell ref="C44:C45"/>
    <mergeCell ref="E44:F44"/>
    <mergeCell ref="G44:G45"/>
    <mergeCell ref="H44:H45"/>
    <mergeCell ref="I44:I45"/>
    <mergeCell ref="J44:J45"/>
    <mergeCell ref="C42:C43"/>
    <mergeCell ref="E42:F42"/>
    <mergeCell ref="G42:G43"/>
    <mergeCell ref="H42:H43"/>
    <mergeCell ref="I42:I43"/>
    <mergeCell ref="J42:J43"/>
    <mergeCell ref="K44:K45"/>
    <mergeCell ref="L44:L45"/>
    <mergeCell ref="M44:M45"/>
    <mergeCell ref="E45:F45"/>
    <mergeCell ref="M46:M47"/>
    <mergeCell ref="E47:F47"/>
    <mergeCell ref="C48:C49"/>
    <mergeCell ref="E48:F48"/>
    <mergeCell ref="G48:G49"/>
    <mergeCell ref="H48:H49"/>
    <mergeCell ref="I48:I49"/>
    <mergeCell ref="J48:J49"/>
    <mergeCell ref="K48:K49"/>
    <mergeCell ref="L48:L49"/>
    <mergeCell ref="M48:M49"/>
    <mergeCell ref="E49:F49"/>
    <mergeCell ref="A46:B47"/>
    <mergeCell ref="C46:C47"/>
    <mergeCell ref="E46:F46"/>
    <mergeCell ref="G46:G47"/>
    <mergeCell ref="H46:H47"/>
    <mergeCell ref="I46:I47"/>
    <mergeCell ref="J46:J47"/>
    <mergeCell ref="K46:K47"/>
    <mergeCell ref="L46:L47"/>
    <mergeCell ref="C52:C53"/>
    <mergeCell ref="E52:F52"/>
    <mergeCell ref="C50:C51"/>
    <mergeCell ref="E50:F50"/>
    <mergeCell ref="G50:G51"/>
    <mergeCell ref="H50:H51"/>
    <mergeCell ref="I50:I51"/>
    <mergeCell ref="J54:J55"/>
    <mergeCell ref="C54:C55"/>
    <mergeCell ref="E54:F54"/>
    <mergeCell ref="G54:G55"/>
    <mergeCell ref="H54:H55"/>
    <mergeCell ref="I54:I55"/>
    <mergeCell ref="J50:J51"/>
    <mergeCell ref="J52:J53"/>
    <mergeCell ref="I52:I53"/>
    <mergeCell ref="K54:K55"/>
    <mergeCell ref="L54:L55"/>
    <mergeCell ref="M54:M55"/>
    <mergeCell ref="E55:F55"/>
    <mergeCell ref="K50:K51"/>
    <mergeCell ref="L50:L51"/>
    <mergeCell ref="M50:M51"/>
    <mergeCell ref="E51:F51"/>
    <mergeCell ref="K52:K53"/>
    <mergeCell ref="O28:O31"/>
    <mergeCell ref="O56:O58"/>
    <mergeCell ref="O59:O61"/>
    <mergeCell ref="O64:O65"/>
    <mergeCell ref="O67:O71"/>
    <mergeCell ref="A1:M1"/>
    <mergeCell ref="O17:O20"/>
    <mergeCell ref="O22:O27"/>
    <mergeCell ref="O33:O40"/>
    <mergeCell ref="O44:O49"/>
    <mergeCell ref="G63:M63"/>
    <mergeCell ref="B60:D60"/>
    <mergeCell ref="C68:D68"/>
    <mergeCell ref="K57:L57"/>
    <mergeCell ref="K58:L59"/>
    <mergeCell ref="M58:M59"/>
    <mergeCell ref="C67:D67"/>
    <mergeCell ref="I67:M67"/>
    <mergeCell ref="K56:L56"/>
    <mergeCell ref="L52:L53"/>
    <mergeCell ref="M52:M53"/>
    <mergeCell ref="E53:F53"/>
    <mergeCell ref="G52:G53"/>
    <mergeCell ref="H52:H53"/>
  </mergeCells>
  <dataValidations count="3">
    <dataValidation type="list" allowBlank="1" showInputMessage="1" showErrorMessage="1" sqref="H40:H55">
      <formula1>"ano, ne"</formula1>
    </dataValidation>
    <dataValidation type="list" allowBlank="1" showInputMessage="1" showErrorMessage="1" sqref="E35:F35">
      <formula1>"Nafta,Natural 95"</formula1>
    </dataValidation>
    <dataValidation type="list" allowBlank="1" showInputMessage="1" showErrorMessage="1" sqref="K7 E61:E67 E58 B65 B58 B61 D18 L19:M19">
      <formula1>"ano,ne"</formula1>
    </dataValidation>
  </dataValidations>
  <pageMargins left="0.39370078740157483" right="0.15748031496062992" top="0.19685039370078741" bottom="0.19685039370078741" header="0.15748031496062992" footer="0.15748031496062992"/>
  <pageSetup paperSize="9" scale="71" orientation="portrait" blackAndWhite="1" r:id="rId1"/>
  <headerFooter>
    <oddFooter>&amp;CStránka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86"/>
  <sheetViews>
    <sheetView topLeftCell="A7" zoomScale="70" zoomScaleNormal="70" workbookViewId="0">
      <selection activeCell="E35" sqref="E35:F35"/>
    </sheetView>
  </sheetViews>
  <sheetFormatPr defaultRowHeight="13.2" outlineLevelCol="1" x14ac:dyDescent="0.25"/>
  <cols>
    <col min="1" max="1" width="8.5546875" customWidth="1"/>
    <col min="2" max="2" width="8.88671875" customWidth="1"/>
    <col min="3" max="3" width="10.33203125" customWidth="1"/>
    <col min="4" max="4" width="11.33203125" customWidth="1"/>
    <col min="5" max="5" width="10" customWidth="1"/>
    <col min="6" max="6" width="10.109375" customWidth="1"/>
    <col min="7" max="7" width="11.6640625" customWidth="1"/>
    <col min="8" max="8" width="12.109375" customWidth="1"/>
    <col min="9" max="9" width="11.5546875" customWidth="1"/>
    <col min="10" max="10" width="9.88671875" customWidth="1"/>
    <col min="11" max="11" width="11.109375" customWidth="1"/>
    <col min="12" max="12" width="16" customWidth="1"/>
    <col min="13" max="13" width="71.109375" customWidth="1"/>
    <col min="14" max="15" width="11" customWidth="1"/>
    <col min="16" max="18" width="9.109375" customWidth="1"/>
    <col min="19" max="20" width="9.109375" hidden="1" customWidth="1" outlineLevel="1"/>
    <col min="21" max="21" width="12" hidden="1" customWidth="1" outlineLevel="1"/>
    <col min="22" max="22" width="9.109375" hidden="1" customWidth="1" outlineLevel="1"/>
    <col min="23" max="23" width="12.109375" hidden="1" customWidth="1" outlineLevel="1"/>
    <col min="24" max="25" width="9.109375" hidden="1" customWidth="1" outlineLevel="1"/>
    <col min="26" max="26" width="10.109375" hidden="1" customWidth="1" outlineLevel="1"/>
    <col min="27" max="33" width="9.109375" hidden="1" customWidth="1" outlineLevel="1"/>
    <col min="34" max="34" width="9.109375" customWidth="1" collapsed="1"/>
    <col min="35" max="35" width="9.109375" customWidth="1"/>
  </cols>
  <sheetData>
    <row r="1" spans="1:13" ht="78" customHeight="1" thickBot="1" x14ac:dyDescent="0.45">
      <c r="A1" s="371" t="s">
        <v>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169" t="s">
        <v>77</v>
      </c>
    </row>
    <row r="2" spans="1:13" ht="12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70"/>
    </row>
    <row r="3" spans="1:13" ht="33" customHeight="1" x14ac:dyDescent="0.4">
      <c r="A3" s="106"/>
      <c r="B3" s="73"/>
      <c r="C3" s="420" t="s">
        <v>92</v>
      </c>
      <c r="D3" s="420"/>
      <c r="E3" s="420"/>
      <c r="F3" s="420"/>
      <c r="G3" s="420"/>
      <c r="H3" s="420"/>
      <c r="I3" s="146"/>
      <c r="J3" s="73"/>
      <c r="K3" s="73"/>
      <c r="L3" s="147"/>
      <c r="M3" s="170"/>
    </row>
    <row r="4" spans="1:13" ht="12.75" customHeight="1" x14ac:dyDescent="0.4">
      <c r="A4" s="106"/>
      <c r="B4" s="148"/>
      <c r="C4" s="148"/>
      <c r="D4" s="148"/>
      <c r="E4" s="148"/>
      <c r="F4" s="148"/>
      <c r="G4" s="73"/>
      <c r="H4" s="73"/>
      <c r="I4" s="73"/>
      <c r="J4" s="73"/>
      <c r="K4" s="73"/>
      <c r="L4" s="147"/>
      <c r="M4" s="170"/>
    </row>
    <row r="5" spans="1:13" ht="12" customHeight="1" x14ac:dyDescent="0.4">
      <c r="A5" s="106"/>
      <c r="B5" s="148"/>
      <c r="C5" s="148"/>
      <c r="D5" s="148"/>
      <c r="E5" s="148"/>
      <c r="F5" s="148"/>
      <c r="G5" s="73"/>
      <c r="H5" s="73"/>
      <c r="I5" s="73"/>
      <c r="J5" s="73"/>
      <c r="K5" s="73"/>
      <c r="L5" s="147"/>
      <c r="M5" s="170"/>
    </row>
    <row r="6" spans="1:13" x14ac:dyDescent="0.25">
      <c r="A6" s="106"/>
      <c r="B6" s="73"/>
      <c r="C6" s="73"/>
      <c r="D6" s="73"/>
      <c r="E6" s="73"/>
      <c r="F6" s="73"/>
      <c r="G6" s="73"/>
      <c r="H6" s="73"/>
      <c r="I6" s="73"/>
      <c r="J6" s="73"/>
      <c r="K6" s="73"/>
      <c r="L6" s="147"/>
      <c r="M6" s="170"/>
    </row>
    <row r="7" spans="1:13" ht="17.25" customHeight="1" x14ac:dyDescent="0.3">
      <c r="A7" s="421" t="s">
        <v>0</v>
      </c>
      <c r="B7" s="422"/>
      <c r="C7" s="422"/>
      <c r="D7" s="423" t="s">
        <v>63</v>
      </c>
      <c r="E7" s="423"/>
      <c r="F7" s="423"/>
      <c r="G7" s="423"/>
      <c r="H7" s="424"/>
      <c r="I7" s="424"/>
      <c r="J7" s="182"/>
      <c r="K7" s="70"/>
      <c r="L7" s="149"/>
      <c r="M7" s="171" t="s">
        <v>113</v>
      </c>
    </row>
    <row r="8" spans="1:13" ht="17.25" customHeight="1" x14ac:dyDescent="0.3">
      <c r="A8" s="150"/>
      <c r="B8" s="151"/>
      <c r="C8" s="151"/>
      <c r="D8" s="425" t="s">
        <v>2</v>
      </c>
      <c r="E8" s="425"/>
      <c r="F8" s="425"/>
      <c r="G8" s="69"/>
      <c r="H8" s="69"/>
      <c r="I8" s="69"/>
      <c r="J8" s="69"/>
      <c r="K8" s="69"/>
      <c r="L8" s="152"/>
      <c r="M8" s="172"/>
    </row>
    <row r="9" spans="1:13" ht="17.399999999999999" x14ac:dyDescent="0.3">
      <c r="A9" s="421" t="s">
        <v>1</v>
      </c>
      <c r="B9" s="422"/>
      <c r="C9" s="422"/>
      <c r="D9" s="423" t="s">
        <v>64</v>
      </c>
      <c r="E9" s="423"/>
      <c r="F9" s="423"/>
      <c r="G9" s="423"/>
      <c r="H9" s="423"/>
      <c r="I9" s="423"/>
      <c r="J9" s="423"/>
      <c r="K9" s="423"/>
      <c r="L9" s="152"/>
      <c r="M9" s="172"/>
    </row>
    <row r="10" spans="1:13" ht="17.399999999999999" x14ac:dyDescent="0.3">
      <c r="A10" s="421" t="s">
        <v>3</v>
      </c>
      <c r="B10" s="422"/>
      <c r="C10" s="422"/>
      <c r="D10" s="433"/>
      <c r="E10" s="433"/>
      <c r="F10" s="423"/>
      <c r="G10" s="71"/>
      <c r="H10" s="71" t="s">
        <v>62</v>
      </c>
      <c r="I10" s="433" t="s">
        <v>65</v>
      </c>
      <c r="J10" s="433"/>
      <c r="K10" s="423"/>
      <c r="L10" s="152"/>
      <c r="M10" s="172" t="s">
        <v>115</v>
      </c>
    </row>
    <row r="11" spans="1:13" ht="9" customHeight="1" x14ac:dyDescent="0.3">
      <c r="A11" s="150"/>
      <c r="B11" s="151"/>
      <c r="C11" s="151"/>
      <c r="D11" s="69"/>
      <c r="E11" s="69"/>
      <c r="F11" s="69"/>
      <c r="G11" s="69"/>
      <c r="H11" s="69"/>
      <c r="I11" s="69"/>
      <c r="J11" s="69"/>
      <c r="K11" s="69"/>
      <c r="L11" s="152"/>
      <c r="M11" s="172"/>
    </row>
    <row r="12" spans="1:13" ht="23.25" customHeight="1" x14ac:dyDescent="0.3">
      <c r="A12" s="426" t="s">
        <v>4</v>
      </c>
      <c r="B12" s="427"/>
      <c r="C12" s="427"/>
      <c r="D12" s="434" t="s">
        <v>66</v>
      </c>
      <c r="E12" s="434"/>
      <c r="F12" s="434"/>
      <c r="G12" s="434"/>
      <c r="H12" s="434"/>
      <c r="I12" s="434"/>
      <c r="J12" s="434"/>
      <c r="K12" s="434"/>
      <c r="L12" s="152"/>
      <c r="M12" s="172" t="s">
        <v>72</v>
      </c>
    </row>
    <row r="13" spans="1:13" ht="19.5" customHeight="1" x14ac:dyDescent="0.3">
      <c r="A13" s="421" t="s">
        <v>5</v>
      </c>
      <c r="B13" s="422"/>
      <c r="C13" s="422"/>
      <c r="D13" s="73"/>
      <c r="E13" s="72" t="s">
        <v>6</v>
      </c>
      <c r="F13" s="137">
        <v>41094</v>
      </c>
      <c r="G13" s="72" t="s">
        <v>7</v>
      </c>
      <c r="H13" s="137">
        <v>41105</v>
      </c>
      <c r="I13" s="73"/>
      <c r="J13" s="69"/>
      <c r="K13" s="69"/>
      <c r="L13" s="147"/>
      <c r="M13" s="172"/>
    </row>
    <row r="14" spans="1:13" ht="20.25" customHeight="1" x14ac:dyDescent="0.3">
      <c r="A14" s="421" t="s">
        <v>8</v>
      </c>
      <c r="B14" s="422"/>
      <c r="C14" s="422"/>
      <c r="D14" s="423" t="s">
        <v>67</v>
      </c>
      <c r="E14" s="423"/>
      <c r="F14" s="423"/>
      <c r="G14" s="423"/>
      <c r="H14" s="69"/>
      <c r="I14" s="70"/>
      <c r="J14" s="74"/>
      <c r="K14" s="69"/>
      <c r="L14" s="152"/>
      <c r="M14" s="172"/>
    </row>
    <row r="15" spans="1:13" ht="9" customHeight="1" x14ac:dyDescent="0.3">
      <c r="A15" s="150"/>
      <c r="B15" s="151"/>
      <c r="C15" s="151"/>
      <c r="D15" s="69"/>
      <c r="E15" s="69"/>
      <c r="F15" s="69"/>
      <c r="G15" s="69"/>
      <c r="H15" s="69"/>
      <c r="I15" s="69"/>
      <c r="J15" s="69"/>
      <c r="K15" s="69"/>
      <c r="L15" s="152"/>
      <c r="M15" s="172"/>
    </row>
    <row r="16" spans="1:13" ht="49.5" customHeight="1" x14ac:dyDescent="0.25">
      <c r="A16" s="426" t="s">
        <v>9</v>
      </c>
      <c r="B16" s="427"/>
      <c r="C16" s="427"/>
      <c r="D16" s="428" t="s">
        <v>68</v>
      </c>
      <c r="E16" s="428"/>
      <c r="F16" s="428"/>
      <c r="G16" s="428"/>
      <c r="H16" s="428"/>
      <c r="I16" s="428"/>
      <c r="J16" s="428"/>
      <c r="K16" s="428"/>
      <c r="L16" s="429"/>
      <c r="M16" s="177" t="s">
        <v>73</v>
      </c>
    </row>
    <row r="17" spans="1:33" ht="12" customHeight="1" x14ac:dyDescent="0.3">
      <c r="A17" s="150"/>
      <c r="B17" s="151"/>
      <c r="C17" s="151"/>
      <c r="D17" s="69"/>
      <c r="E17" s="69"/>
      <c r="F17" s="69"/>
      <c r="G17" s="69"/>
      <c r="H17" s="69"/>
      <c r="I17" s="69"/>
      <c r="J17" s="69"/>
      <c r="K17" s="69"/>
      <c r="L17" s="152"/>
      <c r="M17" s="348" t="s">
        <v>114</v>
      </c>
    </row>
    <row r="18" spans="1:33" ht="18.75" customHeight="1" x14ac:dyDescent="0.3">
      <c r="A18" s="421" t="s">
        <v>10</v>
      </c>
      <c r="B18" s="422"/>
      <c r="C18" s="422"/>
      <c r="D18" s="173" t="s">
        <v>125</v>
      </c>
      <c r="E18" s="430" t="str">
        <f>IF(D18="ano","typ","Dopravní prostředek")</f>
        <v>Dopravní prostředek</v>
      </c>
      <c r="F18" s="430"/>
      <c r="G18" s="431" t="s">
        <v>69</v>
      </c>
      <c r="H18" s="431"/>
      <c r="I18" s="431"/>
      <c r="J18" s="75" t="str">
        <f>IF(D18="ano","SPZ","")</f>
        <v/>
      </c>
      <c r="K18" s="423" t="s">
        <v>70</v>
      </c>
      <c r="L18" s="432"/>
      <c r="M18" s="348"/>
      <c r="N18" s="14"/>
    </row>
    <row r="19" spans="1:33" ht="21" customHeight="1" x14ac:dyDescent="0.3">
      <c r="A19" s="153"/>
      <c r="B19" s="69"/>
      <c r="C19" s="69"/>
      <c r="D19" s="69"/>
      <c r="E19" s="430"/>
      <c r="F19" s="430"/>
      <c r="G19" s="431"/>
      <c r="H19" s="431"/>
      <c r="I19" s="431"/>
      <c r="J19" s="12" t="s">
        <v>81</v>
      </c>
      <c r="K19" s="277" t="s">
        <v>83</v>
      </c>
      <c r="L19" s="277"/>
      <c r="M19" s="348"/>
    </row>
    <row r="20" spans="1:33" ht="14.25" customHeight="1" x14ac:dyDescent="0.3">
      <c r="A20" s="153"/>
      <c r="B20" s="69"/>
      <c r="C20" s="76"/>
      <c r="D20" s="69"/>
      <c r="E20" s="69"/>
      <c r="F20" s="77"/>
      <c r="G20" s="69"/>
      <c r="H20" s="73"/>
      <c r="I20" s="73"/>
      <c r="J20" s="69"/>
      <c r="K20" s="69"/>
      <c r="L20" s="152"/>
      <c r="M20" s="348"/>
      <c r="O20" s="17"/>
    </row>
    <row r="21" spans="1:33" ht="5.25" customHeight="1" x14ac:dyDescent="0.3">
      <c r="A21" s="153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52"/>
      <c r="M21" s="172"/>
    </row>
    <row r="22" spans="1:33" ht="12.75" customHeight="1" x14ac:dyDescent="0.3">
      <c r="A22" s="153"/>
      <c r="B22" s="73"/>
      <c r="C22" s="69"/>
      <c r="D22" s="69"/>
      <c r="E22" s="69"/>
      <c r="F22" s="69"/>
      <c r="G22" s="69"/>
      <c r="H22" s="69"/>
      <c r="I22" s="73"/>
      <c r="J22" s="69"/>
      <c r="K22" s="69"/>
      <c r="L22" s="152"/>
      <c r="M22" s="348" t="s">
        <v>116</v>
      </c>
    </row>
    <row r="23" spans="1:33" ht="12.75" customHeight="1" x14ac:dyDescent="0.25">
      <c r="A23" s="154"/>
      <c r="B23" s="406" t="s">
        <v>12</v>
      </c>
      <c r="C23" s="406"/>
      <c r="D23" s="406"/>
      <c r="E23" s="406"/>
      <c r="F23" s="406"/>
      <c r="G23" s="155"/>
      <c r="H23" s="155"/>
      <c r="I23" s="406" t="str">
        <f>IF(I24="","","…………………………..………….…………………………")</f>
        <v/>
      </c>
      <c r="J23" s="406"/>
      <c r="K23" s="406"/>
      <c r="L23" s="407"/>
      <c r="M23" s="348"/>
    </row>
    <row r="24" spans="1:33" ht="12.75" customHeight="1" x14ac:dyDescent="0.25">
      <c r="A24" s="154"/>
      <c r="B24" s="156" t="s">
        <v>11</v>
      </c>
      <c r="C24" s="73"/>
      <c r="D24" s="73"/>
      <c r="E24" s="73"/>
      <c r="F24" s="73"/>
      <c r="G24" s="155"/>
      <c r="H24" s="155"/>
      <c r="I24" s="408" t="str">
        <f>IF(J7="ano","Datum a podpis vedoucího pracovníka:","")</f>
        <v/>
      </c>
      <c r="J24" s="408"/>
      <c r="K24" s="408"/>
      <c r="L24" s="409"/>
      <c r="M24" s="348"/>
    </row>
    <row r="25" spans="1:33" ht="12.75" customHeight="1" x14ac:dyDescent="0.3">
      <c r="A25" s="157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158"/>
      <c r="M25" s="348"/>
    </row>
    <row r="26" spans="1:33" ht="7.5" customHeight="1" x14ac:dyDescent="0.25">
      <c r="A26" s="10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47"/>
      <c r="M26" s="348"/>
    </row>
    <row r="27" spans="1:33" ht="15.6" x14ac:dyDescent="0.3">
      <c r="A27" s="106"/>
      <c r="B27" s="159" t="s">
        <v>13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262"/>
      <c r="R27" s="10"/>
    </row>
    <row r="28" spans="1:33" ht="10.5" customHeight="1" thickBot="1" x14ac:dyDescent="0.3">
      <c r="A28" s="106"/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380"/>
      <c r="N28" s="23"/>
      <c r="R28" s="10"/>
      <c r="S28" s="10"/>
      <c r="T28" s="10"/>
      <c r="U28" s="10"/>
      <c r="V28" s="10"/>
      <c r="W28" s="10"/>
      <c r="X28" s="10"/>
      <c r="Y28" s="10"/>
      <c r="Z28" s="10"/>
      <c r="AC28" s="10"/>
      <c r="AD28" s="10"/>
      <c r="AE28" s="10"/>
    </row>
    <row r="29" spans="1:33" ht="16.5" customHeight="1" thickBot="1" x14ac:dyDescent="0.3">
      <c r="A29" s="106"/>
      <c r="B29" s="73"/>
      <c r="C29" s="73"/>
      <c r="D29" s="73"/>
      <c r="E29" s="73"/>
      <c r="F29" s="73"/>
      <c r="G29" s="73"/>
      <c r="H29" s="73"/>
      <c r="I29" s="73"/>
      <c r="J29" s="80"/>
      <c r="K29" s="80"/>
      <c r="L29" s="160"/>
      <c r="M29" s="381"/>
      <c r="R29" s="10"/>
      <c r="S29" s="10"/>
      <c r="T29" s="61" t="s">
        <v>46</v>
      </c>
      <c r="U29" s="62">
        <f>IF(C42="",E41,IF(C44="",E43,IF(C46="",F45,IF(C48="",F47,IF(C50="",F49,IF(C52="",F51,IF(C54="",F53,E55)))))))</f>
        <v>0</v>
      </c>
      <c r="V29" s="10"/>
      <c r="W29" s="10"/>
      <c r="X29" s="10"/>
      <c r="Y29" s="117" t="s">
        <v>51</v>
      </c>
      <c r="Z29" s="118">
        <v>0.99998842592592585</v>
      </c>
      <c r="AA29" s="118">
        <v>1.1574074074074073E-5</v>
      </c>
      <c r="AB29" s="119">
        <f>Z29+AA29</f>
        <v>0.99999999999999989</v>
      </c>
    </row>
    <row r="30" spans="1:33" ht="16.5" customHeight="1" thickBot="1" x14ac:dyDescent="0.3">
      <c r="A30" s="106" t="s">
        <v>14</v>
      </c>
      <c r="B30" s="73"/>
      <c r="C30" s="73"/>
      <c r="D30" s="406" t="s">
        <v>15</v>
      </c>
      <c r="E30" s="406"/>
      <c r="F30" s="406"/>
      <c r="G30" s="406"/>
      <c r="H30" s="73"/>
      <c r="I30" s="406" t="str">
        <f>IF(I31="","","…………………………………………………...…………….")</f>
        <v/>
      </c>
      <c r="J30" s="406"/>
      <c r="K30" s="406"/>
      <c r="L30" s="407"/>
      <c r="M30" s="348" t="s">
        <v>117</v>
      </c>
      <c r="N30" s="29"/>
      <c r="R30" s="10"/>
      <c r="T30" s="10" t="s">
        <v>18</v>
      </c>
      <c r="U30" s="10">
        <v>2012</v>
      </c>
      <c r="Y30" s="27">
        <v>5</v>
      </c>
      <c r="Z30" s="115">
        <v>0.20833333333333334</v>
      </c>
      <c r="AA30" s="42" t="s">
        <v>29</v>
      </c>
      <c r="AB30" s="43" t="s">
        <v>30</v>
      </c>
      <c r="AC30" s="26" t="s">
        <v>31</v>
      </c>
    </row>
    <row r="31" spans="1:33" ht="16.5" customHeight="1" thickBot="1" x14ac:dyDescent="0.3">
      <c r="A31" s="106"/>
      <c r="B31" s="73"/>
      <c r="C31" s="73"/>
      <c r="D31" s="408" t="s">
        <v>16</v>
      </c>
      <c r="E31" s="408"/>
      <c r="F31" s="408"/>
      <c r="G31" s="408"/>
      <c r="H31" s="156"/>
      <c r="I31" s="408" t="str">
        <f>IF(J7="ano","Datum a podpis nadřízeného pracovníka","")</f>
        <v/>
      </c>
      <c r="J31" s="408"/>
      <c r="K31" s="408"/>
      <c r="L31" s="409"/>
      <c r="M31" s="348"/>
      <c r="T31" s="24" t="s">
        <v>49</v>
      </c>
      <c r="U31" s="26">
        <v>34.700000000000003</v>
      </c>
      <c r="Y31" s="27">
        <v>12</v>
      </c>
      <c r="Z31" s="115">
        <v>0.5</v>
      </c>
      <c r="AA31" s="47">
        <v>64</v>
      </c>
      <c r="AB31" s="48">
        <v>96</v>
      </c>
      <c r="AC31" s="49">
        <v>151</v>
      </c>
    </row>
    <row r="32" spans="1:33" ht="16.2" thickBot="1" x14ac:dyDescent="0.35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8"/>
      <c r="M32" s="172"/>
      <c r="T32" s="47" t="s">
        <v>50</v>
      </c>
      <c r="U32" s="49">
        <v>34.9</v>
      </c>
      <c r="Y32" s="27">
        <v>18</v>
      </c>
      <c r="Z32" s="115">
        <v>0.75</v>
      </c>
      <c r="AB32">
        <f>H13-F13</f>
        <v>11</v>
      </c>
      <c r="AG32" s="175" t="s">
        <v>82</v>
      </c>
    </row>
    <row r="33" spans="1:33" ht="13.5" customHeight="1" thickBot="1" x14ac:dyDescent="0.3">
      <c r="A33" s="106"/>
      <c r="B33" s="73"/>
      <c r="C33" s="81"/>
      <c r="D33" s="73"/>
      <c r="E33" s="73"/>
      <c r="F33" s="73"/>
      <c r="G33" s="73"/>
      <c r="H33" s="73"/>
      <c r="I33" s="73"/>
      <c r="J33" s="73"/>
      <c r="K33" s="73"/>
      <c r="L33" s="147"/>
      <c r="M33" s="348" t="s">
        <v>118</v>
      </c>
      <c r="Q33" s="10"/>
      <c r="R33" s="10"/>
      <c r="S33" s="10"/>
      <c r="T33" s="10"/>
      <c r="U33" s="10" t="s">
        <v>17</v>
      </c>
      <c r="V33" s="10"/>
      <c r="Y33" s="116">
        <v>24</v>
      </c>
      <c r="Z33" s="120">
        <f>AB29</f>
        <v>0.99999999999999989</v>
      </c>
      <c r="AA33" s="121" t="s">
        <v>39</v>
      </c>
      <c r="AB33" s="121" t="s">
        <v>52</v>
      </c>
      <c r="AC33" s="121" t="s">
        <v>54</v>
      </c>
      <c r="AD33" s="121" t="s">
        <v>53</v>
      </c>
      <c r="AE33" s="121" t="s">
        <v>55</v>
      </c>
      <c r="AG33" s="176" t="s">
        <v>83</v>
      </c>
    </row>
    <row r="34" spans="1:33" ht="16.5" customHeight="1" thickBot="1" x14ac:dyDescent="0.3">
      <c r="A34" s="106"/>
      <c r="B34" s="435" t="str">
        <f>IF(D18="ano","Cena Phm/l v Kč","")</f>
        <v/>
      </c>
      <c r="C34" s="436"/>
      <c r="D34" s="437" t="str">
        <f>IF(D18="ano",IF(C35="","Nemám doklad",""),"")</f>
        <v/>
      </c>
      <c r="E34" s="398" t="str">
        <f>IF(D34="","","Druh Phm")</f>
        <v/>
      </c>
      <c r="F34" s="399"/>
      <c r="G34" s="73"/>
      <c r="H34" s="73"/>
      <c r="I34" s="73" t="str">
        <f>IF(D18="ano","Spotřeba dle TP","")</f>
        <v/>
      </c>
      <c r="J34" s="73"/>
      <c r="K34" s="73"/>
      <c r="L34" s="147"/>
      <c r="M34" s="348"/>
      <c r="Q34" s="10"/>
      <c r="R34" s="10"/>
      <c r="S34" s="10"/>
      <c r="T34" s="10"/>
      <c r="U34" s="10">
        <f>IF(J7="ano",IF(D18="ano",1,0),0)</f>
        <v>0</v>
      </c>
      <c r="V34" s="10"/>
      <c r="W34" s="10"/>
      <c r="X34" s="10"/>
      <c r="Y34" s="24"/>
      <c r="Z34" s="26"/>
      <c r="AA34" s="123">
        <f>A40</f>
        <v>41094</v>
      </c>
      <c r="AB34" s="24">
        <f>IF(Z35=0,D40-D41,AB29-D40)</f>
        <v>0.58333333333333326</v>
      </c>
      <c r="AC34" s="25">
        <f t="shared" ref="AC34:AC41" si="0">IF($A$56="",0,IF(B57="ne",1,0))</f>
        <v>0</v>
      </c>
      <c r="AD34" s="26">
        <f t="shared" ref="AD34:AD55" si="1">IF(AB34&lt;$Z$30,0,IF(AND(AB34&lt;$Z$31,AB34&gt;=$Z$30),$AA$31,IF(AND(AB34&gt;=$Z$31,AB34&lt;$Z$32),$AB$31,$AC$31)))</f>
        <v>96</v>
      </c>
      <c r="AE34" s="51">
        <f>AC34*AD34</f>
        <v>0</v>
      </c>
      <c r="AG34" s="176" t="s">
        <v>84</v>
      </c>
    </row>
    <row r="35" spans="1:33" ht="15" customHeight="1" thickBot="1" x14ac:dyDescent="0.3">
      <c r="A35" s="106"/>
      <c r="B35" s="73"/>
      <c r="C35" s="174">
        <v>29.35</v>
      </c>
      <c r="D35" s="437"/>
      <c r="E35" s="400"/>
      <c r="F35" s="401"/>
      <c r="G35" s="73"/>
      <c r="H35" s="73"/>
      <c r="I35" s="82">
        <v>1</v>
      </c>
      <c r="J35" s="83">
        <v>2</v>
      </c>
      <c r="K35" s="84">
        <v>3</v>
      </c>
      <c r="L35" s="147"/>
      <c r="M35" s="348"/>
      <c r="Q35" s="10"/>
      <c r="R35" s="10"/>
      <c r="S35" s="10"/>
      <c r="U35" t="s">
        <v>57</v>
      </c>
      <c r="V35" s="10"/>
      <c r="W35" s="10" t="s">
        <v>19</v>
      </c>
      <c r="Y35" s="27">
        <v>1</v>
      </c>
      <c r="Z35" s="28" t="str">
        <f>IF($AB$32&gt;=1,"x",0)</f>
        <v>x</v>
      </c>
      <c r="AA35" s="124">
        <f t="shared" ref="AA35:AA55" si="2">IF(Z35="x",$AA$34+Y35,"")</f>
        <v>41095</v>
      </c>
      <c r="AB35" s="27">
        <f t="shared" ref="AB35:AB54" si="3">IF(Z35="x",IF(Z36=0,$B$44,1),0)</f>
        <v>1</v>
      </c>
      <c r="AC35" s="10">
        <f t="shared" si="0"/>
        <v>0</v>
      </c>
      <c r="AD35" s="28">
        <f t="shared" si="1"/>
        <v>151</v>
      </c>
      <c r="AE35" s="53">
        <f t="shared" ref="AE35:AE55" si="4">AC35*AD35</f>
        <v>0</v>
      </c>
      <c r="AG35" s="176" t="s">
        <v>85</v>
      </c>
    </row>
    <row r="36" spans="1:33" ht="16.5" customHeight="1" thickBot="1" x14ac:dyDescent="0.3">
      <c r="A36" s="106"/>
      <c r="B36" s="73"/>
      <c r="C36" s="73"/>
      <c r="D36" s="73"/>
      <c r="E36" s="73"/>
      <c r="F36" s="73"/>
      <c r="G36" s="73"/>
      <c r="H36" s="73"/>
      <c r="I36" s="85">
        <v>7</v>
      </c>
      <c r="J36" s="86">
        <v>8</v>
      </c>
      <c r="K36" s="87">
        <v>9</v>
      </c>
      <c r="L36" s="138">
        <f>(I36+J36+K36)/3</f>
        <v>8</v>
      </c>
      <c r="M36" s="348"/>
      <c r="Q36" s="10"/>
      <c r="R36" s="10"/>
      <c r="W36" s="10">
        <f>L36/100*IF(C35="",IF(E35="nafta",U31,IF(E35="natural 95",U32,0)),C35)</f>
        <v>2.3480000000000003</v>
      </c>
      <c r="Y36" s="27">
        <v>2</v>
      </c>
      <c r="Z36" s="28" t="str">
        <f>IF($AB$32&gt;=2,"x",0)</f>
        <v>x</v>
      </c>
      <c r="AA36" s="124">
        <f t="shared" si="2"/>
        <v>41096</v>
      </c>
      <c r="AB36" s="27">
        <f t="shared" si="3"/>
        <v>1</v>
      </c>
      <c r="AC36" s="10">
        <f t="shared" si="0"/>
        <v>0</v>
      </c>
      <c r="AD36" s="28">
        <f t="shared" si="1"/>
        <v>151</v>
      </c>
      <c r="AE36" s="53">
        <f t="shared" si="4"/>
        <v>0</v>
      </c>
      <c r="AG36" s="176" t="s">
        <v>86</v>
      </c>
    </row>
    <row r="37" spans="1:33" ht="16.5" customHeight="1" thickBot="1" x14ac:dyDescent="0.3">
      <c r="A37" s="402" t="s">
        <v>20</v>
      </c>
      <c r="B37" s="403"/>
      <c r="C37" s="73"/>
      <c r="D37" s="73"/>
      <c r="E37" s="73"/>
      <c r="F37" s="73"/>
      <c r="G37" s="73"/>
      <c r="H37" s="73"/>
      <c r="I37" s="73"/>
      <c r="J37" s="73"/>
      <c r="K37" s="73"/>
      <c r="L37" s="147"/>
      <c r="M37" s="348"/>
      <c r="Q37" s="10"/>
      <c r="R37" s="10"/>
      <c r="S37" s="10"/>
      <c r="T37" s="10"/>
      <c r="U37" s="10"/>
      <c r="V37" s="10"/>
      <c r="W37" s="10"/>
      <c r="Y37" s="122">
        <v>3</v>
      </c>
      <c r="Z37" s="28" t="str">
        <f>IF($AB$32&gt;=3,"x",0)</f>
        <v>x</v>
      </c>
      <c r="AA37" s="124">
        <f t="shared" si="2"/>
        <v>41097</v>
      </c>
      <c r="AB37" s="27">
        <f t="shared" si="3"/>
        <v>1</v>
      </c>
      <c r="AC37" s="10">
        <f>IF($A$56="",0,IF(#REF!="ne",1,0))</f>
        <v>0</v>
      </c>
      <c r="AD37" s="28">
        <f t="shared" si="1"/>
        <v>151</v>
      </c>
      <c r="AE37" s="53">
        <f t="shared" si="4"/>
        <v>0</v>
      </c>
      <c r="AG37" s="176" t="s">
        <v>87</v>
      </c>
    </row>
    <row r="38" spans="1:33" ht="12.75" customHeight="1" thickBot="1" x14ac:dyDescent="0.3">
      <c r="A38" s="367" t="s">
        <v>38</v>
      </c>
      <c r="B38" s="368"/>
      <c r="C38" s="88" t="s">
        <v>21</v>
      </c>
      <c r="D38" s="89" t="s">
        <v>22</v>
      </c>
      <c r="E38" s="404" t="s">
        <v>23</v>
      </c>
      <c r="F38" s="405"/>
      <c r="G38" s="410" t="str">
        <f>IF(D18="ano","Ujeté Km","")</f>
        <v/>
      </c>
      <c r="H38" s="412" t="s">
        <v>36</v>
      </c>
      <c r="I38" s="90" t="s">
        <v>24</v>
      </c>
      <c r="J38" s="418" t="s">
        <v>17</v>
      </c>
      <c r="K38" s="91" t="s">
        <v>25</v>
      </c>
      <c r="L38" s="414" t="s">
        <v>26</v>
      </c>
      <c r="M38" s="348"/>
      <c r="Q38" s="10"/>
      <c r="R38" s="10"/>
      <c r="T38" s="24" t="s">
        <v>27</v>
      </c>
      <c r="U38" s="25" t="s">
        <v>28</v>
      </c>
      <c r="V38" s="40" t="s">
        <v>36</v>
      </c>
      <c r="W38" s="126" t="s">
        <v>37</v>
      </c>
      <c r="Y38" s="27">
        <v>4</v>
      </c>
      <c r="Z38" s="28" t="str">
        <f>IF($AB$32&gt;=4,"x",0)</f>
        <v>x</v>
      </c>
      <c r="AA38" s="124">
        <f t="shared" si="2"/>
        <v>41098</v>
      </c>
      <c r="AB38" s="27">
        <f t="shared" si="3"/>
        <v>1</v>
      </c>
      <c r="AC38" s="10">
        <f t="shared" si="0"/>
        <v>0</v>
      </c>
      <c r="AD38" s="28">
        <f t="shared" si="1"/>
        <v>151</v>
      </c>
      <c r="AE38" s="53">
        <f t="shared" si="4"/>
        <v>0</v>
      </c>
      <c r="AG38" s="175" t="s">
        <v>88</v>
      </c>
    </row>
    <row r="39" spans="1:33" ht="15" customHeight="1" thickBot="1" x14ac:dyDescent="0.3">
      <c r="A39" s="106" t="s">
        <v>39</v>
      </c>
      <c r="B39" s="73" t="s">
        <v>40</v>
      </c>
      <c r="C39" s="92"/>
      <c r="D39" s="93" t="s">
        <v>32</v>
      </c>
      <c r="E39" s="416" t="s">
        <v>33</v>
      </c>
      <c r="F39" s="417"/>
      <c r="G39" s="411"/>
      <c r="H39" s="413"/>
      <c r="I39" s="94" t="s">
        <v>34</v>
      </c>
      <c r="J39" s="419"/>
      <c r="K39" s="95" t="s">
        <v>35</v>
      </c>
      <c r="L39" s="415"/>
      <c r="M39" s="348"/>
      <c r="Q39" s="10"/>
      <c r="R39" s="10"/>
      <c r="T39" s="27"/>
      <c r="U39" s="51">
        <f>IF(D18="ano",IF(J7="NE",T40,3.7),0)</f>
        <v>0</v>
      </c>
      <c r="V39" s="25">
        <f>IF(G38="",H40,0)</f>
        <v>0</v>
      </c>
      <c r="W39" s="26">
        <f>IF(H38="",ROUND(G40*(U39+W36),2),0)</f>
        <v>0</v>
      </c>
      <c r="Y39" s="27">
        <v>5</v>
      </c>
      <c r="Z39" s="28" t="str">
        <f>IF($AB$32&gt;=5,"x",0)</f>
        <v>x</v>
      </c>
      <c r="AA39" s="124">
        <f t="shared" si="2"/>
        <v>41099</v>
      </c>
      <c r="AB39" s="27">
        <f t="shared" si="3"/>
        <v>1</v>
      </c>
      <c r="AC39" s="10">
        <f t="shared" si="0"/>
        <v>0</v>
      </c>
      <c r="AD39" s="28">
        <f t="shared" si="1"/>
        <v>151</v>
      </c>
      <c r="AE39" s="53">
        <f t="shared" si="4"/>
        <v>0</v>
      </c>
    </row>
    <row r="40" spans="1:33" ht="16.5" customHeight="1" thickBot="1" x14ac:dyDescent="0.3">
      <c r="A40" s="54">
        <f>F13</f>
        <v>41094</v>
      </c>
      <c r="B40" s="99">
        <f>IF(D40="","",D40)</f>
        <v>0.41666666666666669</v>
      </c>
      <c r="C40" s="382">
        <v>41094</v>
      </c>
      <c r="D40" s="96">
        <v>0.41666666666666669</v>
      </c>
      <c r="E40" s="383" t="s">
        <v>74</v>
      </c>
      <c r="F40" s="384"/>
      <c r="G40" s="385">
        <v>366</v>
      </c>
      <c r="H40" s="386"/>
      <c r="I40" s="385"/>
      <c r="J40" s="385">
        <v>0</v>
      </c>
      <c r="K40" s="387"/>
      <c r="L40" s="388" t="str">
        <f>IF(C40="","",IF(U57=0,"",U57))</f>
        <v/>
      </c>
      <c r="M40" s="348"/>
      <c r="Q40" s="10"/>
      <c r="R40" s="10"/>
      <c r="T40" s="27" t="str">
        <f>IF(J40=1,1,IF(J40=2,2,IF(J40=3,3,IF(J40&gt;=3,3,""))))</f>
        <v/>
      </c>
      <c r="U40" s="53"/>
      <c r="V40" s="10"/>
      <c r="W40" s="28"/>
      <c r="Y40" s="122">
        <v>6</v>
      </c>
      <c r="Z40" s="28" t="str">
        <f>IF($AB$32&gt;=6,"x",0)</f>
        <v>x</v>
      </c>
      <c r="AA40" s="124">
        <f t="shared" si="2"/>
        <v>41100</v>
      </c>
      <c r="AB40" s="27">
        <f t="shared" si="3"/>
        <v>1</v>
      </c>
      <c r="AC40" s="10">
        <f t="shared" si="0"/>
        <v>0</v>
      </c>
      <c r="AD40" s="28">
        <f t="shared" si="1"/>
        <v>151</v>
      </c>
      <c r="AE40" s="53">
        <f t="shared" si="4"/>
        <v>0</v>
      </c>
    </row>
    <row r="41" spans="1:33" ht="15.75" customHeight="1" x14ac:dyDescent="0.3">
      <c r="A41" s="106"/>
      <c r="B41" s="73"/>
      <c r="C41" s="356"/>
      <c r="D41" s="97"/>
      <c r="E41" s="357" t="s">
        <v>67</v>
      </c>
      <c r="F41" s="358"/>
      <c r="G41" s="360"/>
      <c r="H41" s="362"/>
      <c r="I41" s="360"/>
      <c r="J41" s="360"/>
      <c r="K41" s="364"/>
      <c r="L41" s="366"/>
      <c r="M41" s="172"/>
      <c r="Q41" s="10"/>
      <c r="R41" s="10"/>
      <c r="T41" s="27"/>
      <c r="U41" s="53">
        <f>IF(D18="ano",IF(J7="NE",T42,3.7),0)</f>
        <v>0</v>
      </c>
      <c r="V41" s="10">
        <f>IF(G38="",H42,0)</f>
        <v>258</v>
      </c>
      <c r="W41" s="28">
        <f>IF(G38="",0,IF(G42="",0,ROUND(G42*(U41+W36),2)))</f>
        <v>0</v>
      </c>
      <c r="Y41" s="27">
        <v>7</v>
      </c>
      <c r="Z41" s="28" t="str">
        <f>IF($AB$32&gt;=7,"x",0)</f>
        <v>x</v>
      </c>
      <c r="AA41" s="124">
        <f t="shared" si="2"/>
        <v>41101</v>
      </c>
      <c r="AB41" s="27">
        <f t="shared" si="3"/>
        <v>1</v>
      </c>
      <c r="AC41" s="10">
        <f t="shared" si="0"/>
        <v>0</v>
      </c>
      <c r="AD41" s="28">
        <f t="shared" si="1"/>
        <v>151</v>
      </c>
      <c r="AE41" s="53">
        <f t="shared" si="4"/>
        <v>0</v>
      </c>
    </row>
    <row r="42" spans="1:33" ht="15.75" customHeight="1" x14ac:dyDescent="0.3">
      <c r="A42" s="367" t="s">
        <v>41</v>
      </c>
      <c r="B42" s="368"/>
      <c r="C42" s="355">
        <v>41103</v>
      </c>
      <c r="D42" s="98"/>
      <c r="E42" s="357" t="s">
        <v>67</v>
      </c>
      <c r="F42" s="358"/>
      <c r="G42" s="359">
        <v>214</v>
      </c>
      <c r="H42" s="361">
        <v>258</v>
      </c>
      <c r="I42" s="359"/>
      <c r="J42" s="359">
        <v>1</v>
      </c>
      <c r="K42" s="363"/>
      <c r="L42" s="365">
        <f>IF(C42="","",IF(U58=0,"",U58))</f>
        <v>258</v>
      </c>
      <c r="M42" s="172"/>
      <c r="Q42" s="10"/>
      <c r="R42" s="10"/>
      <c r="T42" s="27">
        <f>IF(J42=1,1,IF(J42=2,2,IF(J42=3,3,IF(J42&gt;=3,3,""))))</f>
        <v>1</v>
      </c>
      <c r="U42" s="53"/>
      <c r="V42" s="10"/>
      <c r="W42" s="28"/>
      <c r="Y42" s="27">
        <v>8</v>
      </c>
      <c r="Z42" s="28" t="str">
        <f>IF($AB$32&gt;=8,"x",0)</f>
        <v>x</v>
      </c>
      <c r="AA42" s="124">
        <f t="shared" si="2"/>
        <v>41102</v>
      </c>
      <c r="AB42" s="27">
        <f t="shared" si="3"/>
        <v>1</v>
      </c>
      <c r="AC42" s="10">
        <f>IF($A$56="",0,IF(#REF!="ne",1,0))</f>
        <v>0</v>
      </c>
      <c r="AD42" s="28">
        <f t="shared" si="1"/>
        <v>151</v>
      </c>
      <c r="AE42" s="53">
        <f t="shared" si="4"/>
        <v>0</v>
      </c>
    </row>
    <row r="43" spans="1:33" ht="16.5" customHeight="1" thickBot="1" x14ac:dyDescent="0.35">
      <c r="A43" s="106" t="s">
        <v>39</v>
      </c>
      <c r="B43" s="73" t="s">
        <v>40</v>
      </c>
      <c r="C43" s="356"/>
      <c r="D43" s="98"/>
      <c r="E43" s="357" t="s">
        <v>75</v>
      </c>
      <c r="F43" s="358"/>
      <c r="G43" s="360"/>
      <c r="H43" s="362"/>
      <c r="I43" s="360"/>
      <c r="J43" s="360"/>
      <c r="K43" s="364"/>
      <c r="L43" s="366"/>
      <c r="M43" s="172"/>
      <c r="Q43" s="10"/>
      <c r="R43" s="10"/>
      <c r="T43" s="27"/>
      <c r="U43" s="53">
        <f>IF(D18="ano",IF(J7="NE",T44,3.7),0)</f>
        <v>0</v>
      </c>
      <c r="V43" s="10">
        <f>IF(G38="",H44,0)</f>
        <v>0</v>
      </c>
      <c r="W43" s="28">
        <f>IF(G38="",0,IF(G44="",0,ROUND(G44*(U43+W36),2)))</f>
        <v>0</v>
      </c>
      <c r="Y43" s="122">
        <v>9</v>
      </c>
      <c r="Z43" s="28" t="str">
        <f>IF($AB$32&gt;=9,"x",0)</f>
        <v>x</v>
      </c>
      <c r="AA43" s="124">
        <f t="shared" si="2"/>
        <v>41103</v>
      </c>
      <c r="AB43" s="27">
        <f t="shared" si="3"/>
        <v>1</v>
      </c>
      <c r="AC43" s="10">
        <f>IF($A$56="",0,IF(#REF!="ne",1,0))</f>
        <v>0</v>
      </c>
      <c r="AD43" s="28">
        <f t="shared" si="1"/>
        <v>151</v>
      </c>
      <c r="AE43" s="53">
        <f t="shared" si="4"/>
        <v>0</v>
      </c>
    </row>
    <row r="44" spans="1:33" ht="13.5" customHeight="1" thickBot="1" x14ac:dyDescent="0.3">
      <c r="A44" s="54">
        <f>H13</f>
        <v>41105</v>
      </c>
      <c r="B44" s="100">
        <f>IF(C42="",D41,IF(C44="",D43,IF(C46="",D45,IF(C48="",D47,IF(C50="",D49,IF(C52="",D51,IF(C54="",D53,D55)))))))</f>
        <v>0.625</v>
      </c>
      <c r="C44" s="355">
        <v>41103</v>
      </c>
      <c r="D44" s="98"/>
      <c r="E44" s="357" t="s">
        <v>75</v>
      </c>
      <c r="F44" s="358"/>
      <c r="G44" s="359">
        <v>214</v>
      </c>
      <c r="H44" s="361"/>
      <c r="I44" s="359"/>
      <c r="J44" s="359">
        <v>1</v>
      </c>
      <c r="K44" s="363"/>
      <c r="L44" s="365" t="str">
        <f>IF(C44="","",IF(U59=0,"",U59))</f>
        <v/>
      </c>
      <c r="M44" s="348" t="s">
        <v>119</v>
      </c>
      <c r="Q44" s="10"/>
      <c r="R44" s="10"/>
      <c r="T44" s="27">
        <f>IF(J44=1,1,IF(J44=2,2,IF(J44=3,3,IF(J44&gt;=3,3,""))))</f>
        <v>1</v>
      </c>
      <c r="U44" s="53"/>
      <c r="V44" s="10"/>
      <c r="W44" s="28"/>
      <c r="Y44" s="27">
        <v>10</v>
      </c>
      <c r="Z44" s="28" t="str">
        <f>IF($AB$32&gt;=10,"x",0)</f>
        <v>x</v>
      </c>
      <c r="AA44" s="124">
        <f t="shared" si="2"/>
        <v>41104</v>
      </c>
      <c r="AB44" s="27">
        <f t="shared" si="3"/>
        <v>1</v>
      </c>
      <c r="AC44" s="10">
        <f>IF($A$56="",0,IF(E57="ne",1,0))</f>
        <v>0</v>
      </c>
      <c r="AD44" s="28">
        <f t="shared" si="1"/>
        <v>151</v>
      </c>
      <c r="AE44" s="53">
        <f t="shared" si="4"/>
        <v>0</v>
      </c>
    </row>
    <row r="45" spans="1:33" ht="12.75" customHeight="1" x14ac:dyDescent="0.25">
      <c r="A45" s="106"/>
      <c r="B45" s="73"/>
      <c r="C45" s="356"/>
      <c r="D45" s="98"/>
      <c r="E45" s="357" t="s">
        <v>67</v>
      </c>
      <c r="F45" s="358"/>
      <c r="G45" s="360"/>
      <c r="H45" s="362"/>
      <c r="I45" s="360"/>
      <c r="J45" s="360"/>
      <c r="K45" s="364"/>
      <c r="L45" s="366"/>
      <c r="M45" s="348"/>
      <c r="Q45" s="10"/>
      <c r="R45" s="10"/>
      <c r="T45" s="27"/>
      <c r="U45" s="53">
        <f>IF(D18="ano",IF(J7="NE",T46,3.7),0)</f>
        <v>0</v>
      </c>
      <c r="V45" s="10">
        <f>IF(G38="",H46,0)</f>
        <v>0</v>
      </c>
      <c r="W45" s="28">
        <f>IF(G38="",0,IF(G46="",0,ROUND(G46*(U45+W36),2)))</f>
        <v>0</v>
      </c>
      <c r="Y45" s="27">
        <v>11</v>
      </c>
      <c r="Z45" s="28" t="str">
        <f>IF($AB$32&gt;=11,"x",0)</f>
        <v>x</v>
      </c>
      <c r="AA45" s="124">
        <f t="shared" si="2"/>
        <v>41105</v>
      </c>
      <c r="AB45" s="27">
        <f t="shared" si="3"/>
        <v>0.625</v>
      </c>
      <c r="AC45" s="10">
        <f t="shared" ref="AC45:AC55" si="5">IF($A$56="",0,IF(E58="ne",1,0))</f>
        <v>0</v>
      </c>
      <c r="AD45" s="28">
        <f t="shared" si="1"/>
        <v>96</v>
      </c>
      <c r="AE45" s="53">
        <f t="shared" si="4"/>
        <v>0</v>
      </c>
    </row>
    <row r="46" spans="1:33" ht="12.75" customHeight="1" x14ac:dyDescent="0.25">
      <c r="A46" s="353" t="s">
        <v>58</v>
      </c>
      <c r="B46" s="354"/>
      <c r="C46" s="355">
        <v>41105</v>
      </c>
      <c r="D46" s="98"/>
      <c r="E46" s="357" t="s">
        <v>67</v>
      </c>
      <c r="F46" s="358"/>
      <c r="G46" s="359">
        <v>368</v>
      </c>
      <c r="H46" s="361"/>
      <c r="I46" s="359"/>
      <c r="J46" s="359">
        <v>2</v>
      </c>
      <c r="K46" s="363"/>
      <c r="L46" s="365" t="str">
        <f>IF(C46="","",IF(U60=0,"",U60))</f>
        <v/>
      </c>
      <c r="M46" s="348"/>
      <c r="Q46" s="10"/>
      <c r="R46" s="10"/>
      <c r="T46" s="27">
        <f>IF(J46=1,1,IF(J46=2,2,IF(J46=3,3,IF(J46&gt;=3,3,""))))</f>
        <v>2</v>
      </c>
      <c r="U46" s="53"/>
      <c r="V46" s="10"/>
      <c r="W46" s="28"/>
      <c r="Y46" s="122">
        <v>12</v>
      </c>
      <c r="Z46" s="28">
        <f>IF($AB$32&gt;=12,"x",0)</f>
        <v>0</v>
      </c>
      <c r="AA46" s="124" t="str">
        <f t="shared" si="2"/>
        <v/>
      </c>
      <c r="AB46" s="27">
        <f t="shared" si="3"/>
        <v>0</v>
      </c>
      <c r="AC46" s="10">
        <f t="shared" si="5"/>
        <v>0</v>
      </c>
      <c r="AD46" s="28">
        <f t="shared" si="1"/>
        <v>0</v>
      </c>
      <c r="AE46" s="53">
        <f t="shared" si="4"/>
        <v>0</v>
      </c>
    </row>
    <row r="47" spans="1:33" ht="12.75" customHeight="1" x14ac:dyDescent="0.25">
      <c r="A47" s="353"/>
      <c r="B47" s="354"/>
      <c r="C47" s="356"/>
      <c r="D47" s="98">
        <v>0.625</v>
      </c>
      <c r="E47" s="357" t="s">
        <v>74</v>
      </c>
      <c r="F47" s="358"/>
      <c r="G47" s="360"/>
      <c r="H47" s="362"/>
      <c r="I47" s="360"/>
      <c r="J47" s="360"/>
      <c r="K47" s="364"/>
      <c r="L47" s="366"/>
      <c r="M47" s="348"/>
      <c r="Q47" s="10"/>
      <c r="R47" s="10"/>
      <c r="T47" s="27"/>
      <c r="U47" s="53">
        <f>IF(D18="ano",IF(J7="NE",T48,3.7),0)</f>
        <v>0</v>
      </c>
      <c r="V47" s="10">
        <f>IF(G38="",H48,0)</f>
        <v>0</v>
      </c>
      <c r="W47" s="28">
        <f>IF(G38="",0,IF(G48="",0,ROUND(G48*(U47+W36),2)))</f>
        <v>0</v>
      </c>
      <c r="Y47" s="27">
        <v>13</v>
      </c>
      <c r="Z47" s="28">
        <f>IF($AB$32&gt;=13,"x",0)</f>
        <v>0</v>
      </c>
      <c r="AA47" s="124" t="str">
        <f t="shared" si="2"/>
        <v/>
      </c>
      <c r="AB47" s="27">
        <f t="shared" si="3"/>
        <v>0</v>
      </c>
      <c r="AC47" s="10">
        <f>IF($A$56="",0,IF(#REF!="ne",1,0))</f>
        <v>0</v>
      </c>
      <c r="AD47" s="28">
        <f t="shared" si="1"/>
        <v>0</v>
      </c>
      <c r="AE47" s="53">
        <f t="shared" si="4"/>
        <v>0</v>
      </c>
    </row>
    <row r="48" spans="1:33" ht="15.75" customHeight="1" x14ac:dyDescent="0.25">
      <c r="A48" s="161">
        <f>IF(W36=0,"",W36)</f>
        <v>2.3480000000000003</v>
      </c>
      <c r="B48" s="73"/>
      <c r="C48" s="355"/>
      <c r="D48" s="98"/>
      <c r="E48" s="357"/>
      <c r="F48" s="358"/>
      <c r="G48" s="359"/>
      <c r="H48" s="361"/>
      <c r="I48" s="359"/>
      <c r="J48" s="359"/>
      <c r="K48" s="363"/>
      <c r="L48" s="365" t="str">
        <f>IF(C48="","",IF(U61=0,"",U61))</f>
        <v/>
      </c>
      <c r="M48" s="348"/>
      <c r="Q48" s="10"/>
      <c r="R48" s="10"/>
      <c r="T48" s="27" t="str">
        <f>IF(J48=1,1,IF(J48=2,2,IF(J48=3,3,IF(J48&gt;=3,3,""))))</f>
        <v/>
      </c>
      <c r="U48" s="53"/>
      <c r="V48" s="10"/>
      <c r="W48" s="28"/>
      <c r="Y48" s="27">
        <v>14</v>
      </c>
      <c r="Z48" s="28">
        <f>IF($AB$32&gt;=14,"x",0)</f>
        <v>0</v>
      </c>
      <c r="AA48" s="124" t="str">
        <f t="shared" si="2"/>
        <v/>
      </c>
      <c r="AB48" s="27">
        <f t="shared" si="3"/>
        <v>0</v>
      </c>
      <c r="AC48" s="10">
        <f t="shared" si="5"/>
        <v>0</v>
      </c>
      <c r="AD48" s="28">
        <f t="shared" si="1"/>
        <v>0</v>
      </c>
      <c r="AE48" s="53">
        <f t="shared" si="4"/>
        <v>0</v>
      </c>
    </row>
    <row r="49" spans="1:31" ht="15.75" customHeight="1" x14ac:dyDescent="0.25">
      <c r="A49" s="106"/>
      <c r="B49" s="73"/>
      <c r="C49" s="356"/>
      <c r="D49" s="98"/>
      <c r="E49" s="357"/>
      <c r="F49" s="358"/>
      <c r="G49" s="360"/>
      <c r="H49" s="362"/>
      <c r="I49" s="360"/>
      <c r="J49" s="360"/>
      <c r="K49" s="364"/>
      <c r="L49" s="366"/>
      <c r="M49" s="348"/>
      <c r="Q49" s="10"/>
      <c r="R49" s="10"/>
      <c r="T49" s="27"/>
      <c r="U49" s="53">
        <f>IF(D18="ano",IF(J7="NE",T50,3.7),0)</f>
        <v>0</v>
      </c>
      <c r="V49" s="10">
        <f>IF(G38="",H50,0)</f>
        <v>0</v>
      </c>
      <c r="W49" s="28">
        <f>IF(G38="",0,IF(G50="",0,ROUND(G50*(U49+W36),2)))</f>
        <v>0</v>
      </c>
      <c r="Y49" s="122">
        <v>15</v>
      </c>
      <c r="Z49" s="28">
        <f>IF($AB$32&gt;=15,"x",0)</f>
        <v>0</v>
      </c>
      <c r="AA49" s="124" t="str">
        <f t="shared" si="2"/>
        <v/>
      </c>
      <c r="AB49" s="27">
        <f t="shared" si="3"/>
        <v>0</v>
      </c>
      <c r="AC49" s="10">
        <f t="shared" si="5"/>
        <v>0</v>
      </c>
      <c r="AD49" s="28">
        <f t="shared" si="1"/>
        <v>0</v>
      </c>
      <c r="AE49" s="53">
        <f t="shared" si="4"/>
        <v>0</v>
      </c>
    </row>
    <row r="50" spans="1:31" ht="15.6" x14ac:dyDescent="0.3">
      <c r="A50" s="106"/>
      <c r="B50" s="73"/>
      <c r="C50" s="355"/>
      <c r="D50" s="98"/>
      <c r="E50" s="357"/>
      <c r="F50" s="358"/>
      <c r="G50" s="359"/>
      <c r="H50" s="361"/>
      <c r="I50" s="359"/>
      <c r="J50" s="359"/>
      <c r="K50" s="363"/>
      <c r="L50" s="365" t="str">
        <f>IF(C50="","",IF(U62=0,"",U62))</f>
        <v/>
      </c>
      <c r="M50" s="172"/>
      <c r="Q50" s="10"/>
      <c r="R50" s="10"/>
      <c r="T50" s="27" t="str">
        <f>IF(J50=1,1,IF(J50=2,2,IF(J50=3,3,IF(J50&gt;=3,3,""))))</f>
        <v/>
      </c>
      <c r="U50" s="53"/>
      <c r="V50" s="10"/>
      <c r="W50" s="28"/>
      <c r="Y50" s="27">
        <v>16</v>
      </c>
      <c r="Z50" s="28">
        <f>IF($AB$32&gt;=16,"x",0)</f>
        <v>0</v>
      </c>
      <c r="AA50" s="124" t="str">
        <f t="shared" si="2"/>
        <v/>
      </c>
      <c r="AB50" s="27">
        <f t="shared" si="3"/>
        <v>0</v>
      </c>
      <c r="AC50" s="10">
        <f t="shared" si="5"/>
        <v>0</v>
      </c>
      <c r="AD50" s="28">
        <f t="shared" si="1"/>
        <v>0</v>
      </c>
      <c r="AE50" s="53">
        <f t="shared" si="4"/>
        <v>0</v>
      </c>
    </row>
    <row r="51" spans="1:31" ht="15.6" x14ac:dyDescent="0.3">
      <c r="A51" s="106"/>
      <c r="B51" s="73"/>
      <c r="C51" s="356"/>
      <c r="D51" s="98"/>
      <c r="E51" s="357"/>
      <c r="F51" s="358"/>
      <c r="G51" s="360"/>
      <c r="H51" s="362"/>
      <c r="I51" s="360"/>
      <c r="J51" s="360"/>
      <c r="K51" s="364"/>
      <c r="L51" s="366"/>
      <c r="M51" s="172"/>
      <c r="Q51" s="10"/>
      <c r="R51" s="10"/>
      <c r="T51" s="27"/>
      <c r="U51" s="53">
        <f>IF(D18="ano",IF(J7="NE",T52,3.7),0)</f>
        <v>0</v>
      </c>
      <c r="V51" s="10">
        <f>IF(G38="",H52,0)</f>
        <v>0</v>
      </c>
      <c r="W51" s="28">
        <f>IF(G38="",0,IF(G52="",0,ROUND(G52*(U51+W36),2)))</f>
        <v>0</v>
      </c>
      <c r="Y51" s="27">
        <v>17</v>
      </c>
      <c r="Z51" s="28">
        <f>IF($AB$32&gt;=17,"x",0)</f>
        <v>0</v>
      </c>
      <c r="AA51" s="124" t="str">
        <f t="shared" si="2"/>
        <v/>
      </c>
      <c r="AB51" s="27">
        <f t="shared" si="3"/>
        <v>0</v>
      </c>
      <c r="AC51" s="10">
        <f t="shared" si="5"/>
        <v>0</v>
      </c>
      <c r="AD51" s="28">
        <f t="shared" si="1"/>
        <v>0</v>
      </c>
      <c r="AE51" s="53">
        <f t="shared" si="4"/>
        <v>0</v>
      </c>
    </row>
    <row r="52" spans="1:31" ht="15.6" x14ac:dyDescent="0.3">
      <c r="A52" s="106"/>
      <c r="B52" s="73"/>
      <c r="C52" s="355"/>
      <c r="D52" s="98"/>
      <c r="E52" s="357"/>
      <c r="F52" s="358"/>
      <c r="G52" s="359"/>
      <c r="H52" s="361"/>
      <c r="I52" s="359"/>
      <c r="J52" s="359"/>
      <c r="K52" s="363"/>
      <c r="L52" s="365" t="str">
        <f>IF(C52="","",IF(U63=0,"",U63))</f>
        <v/>
      </c>
      <c r="M52" s="172"/>
      <c r="Q52" s="10"/>
      <c r="R52" s="10"/>
      <c r="T52" s="27" t="str">
        <f>IF(J52=1,1,IF(J52=2,2,IF(J52=3,3,IF(J52&gt;=3,3,""))))</f>
        <v/>
      </c>
      <c r="U52" s="53"/>
      <c r="V52" s="10"/>
      <c r="W52" s="28"/>
      <c r="Y52" s="122">
        <v>18</v>
      </c>
      <c r="Z52" s="28">
        <f>IF($AB$32&gt;=18,"x",0)</f>
        <v>0</v>
      </c>
      <c r="AA52" s="124" t="str">
        <f t="shared" si="2"/>
        <v/>
      </c>
      <c r="AB52" s="27">
        <f t="shared" si="3"/>
        <v>0</v>
      </c>
      <c r="AC52" s="10">
        <f t="shared" si="5"/>
        <v>0</v>
      </c>
      <c r="AD52" s="28">
        <f t="shared" si="1"/>
        <v>0</v>
      </c>
      <c r="AE52" s="53">
        <f t="shared" si="4"/>
        <v>0</v>
      </c>
    </row>
    <row r="53" spans="1:31" ht="15.6" x14ac:dyDescent="0.3">
      <c r="A53" s="106"/>
      <c r="B53" s="73"/>
      <c r="C53" s="356"/>
      <c r="D53" s="98"/>
      <c r="E53" s="357"/>
      <c r="F53" s="358"/>
      <c r="G53" s="360"/>
      <c r="H53" s="362"/>
      <c r="I53" s="360"/>
      <c r="J53" s="360"/>
      <c r="K53" s="364"/>
      <c r="L53" s="366"/>
      <c r="M53" s="172"/>
      <c r="Q53" s="10"/>
      <c r="R53" s="10"/>
      <c r="T53" s="27"/>
      <c r="U53" s="53">
        <f>IF(D18="ano",IF(J7="NE",T54,3.7),0)</f>
        <v>0</v>
      </c>
      <c r="V53" s="10">
        <f>IF(G38="",H54,0)</f>
        <v>0</v>
      </c>
      <c r="W53" s="28">
        <f>IF(G38="",0,IF(G54="",0,ROUND(G54*(U53+W36),2)))</f>
        <v>0</v>
      </c>
      <c r="Y53" s="27">
        <v>19</v>
      </c>
      <c r="Z53" s="28">
        <f>IF($AB$32&gt;=19,"x",0)</f>
        <v>0</v>
      </c>
      <c r="AA53" s="124" t="str">
        <f t="shared" si="2"/>
        <v/>
      </c>
      <c r="AB53" s="27">
        <f t="shared" si="3"/>
        <v>0</v>
      </c>
      <c r="AC53" s="10">
        <f t="shared" si="5"/>
        <v>0</v>
      </c>
      <c r="AD53" s="28">
        <f t="shared" si="1"/>
        <v>0</v>
      </c>
      <c r="AE53" s="53">
        <f t="shared" si="4"/>
        <v>0</v>
      </c>
    </row>
    <row r="54" spans="1:31" ht="15.6" x14ac:dyDescent="0.3">
      <c r="A54" s="106"/>
      <c r="B54" s="73"/>
      <c r="C54" s="355"/>
      <c r="D54" s="98"/>
      <c r="E54" s="357"/>
      <c r="F54" s="358"/>
      <c r="G54" s="359"/>
      <c r="H54" s="361"/>
      <c r="I54" s="359"/>
      <c r="J54" s="359"/>
      <c r="K54" s="363"/>
      <c r="L54" s="365" t="str">
        <f>IF(C54="","",IF(U64=0,"",U64))</f>
        <v/>
      </c>
      <c r="M54" s="172"/>
      <c r="Q54" s="10"/>
      <c r="R54" s="10"/>
      <c r="T54" s="27" t="str">
        <f>IF(J54=1,1,IF(J54=2,2,IF(J54=3,3,IF(J54&gt;=3,3,""))))</f>
        <v/>
      </c>
      <c r="U54" s="53"/>
      <c r="V54" s="10"/>
      <c r="W54" s="28"/>
      <c r="Y54" s="27">
        <v>20</v>
      </c>
      <c r="Z54" s="28">
        <f>IF($AB$32&gt;=20,"x",0)</f>
        <v>0</v>
      </c>
      <c r="AA54" s="124" t="str">
        <f t="shared" si="2"/>
        <v/>
      </c>
      <c r="AB54" s="27">
        <f t="shared" si="3"/>
        <v>0</v>
      </c>
      <c r="AC54" s="10">
        <f t="shared" si="5"/>
        <v>0</v>
      </c>
      <c r="AD54" s="28">
        <f t="shared" si="1"/>
        <v>0</v>
      </c>
      <c r="AE54" s="53">
        <f t="shared" si="4"/>
        <v>0</v>
      </c>
    </row>
    <row r="55" spans="1:31" ht="16.2" thickBot="1" x14ac:dyDescent="0.35">
      <c r="A55" s="106"/>
      <c r="B55" s="73"/>
      <c r="C55" s="394"/>
      <c r="D55" s="101"/>
      <c r="E55" s="369"/>
      <c r="F55" s="370"/>
      <c r="G55" s="395"/>
      <c r="H55" s="396"/>
      <c r="I55" s="395"/>
      <c r="J55" s="395"/>
      <c r="K55" s="397"/>
      <c r="L55" s="390"/>
      <c r="M55" s="172" t="s">
        <v>121</v>
      </c>
      <c r="Q55" s="10"/>
      <c r="R55" s="10"/>
      <c r="T55" s="47"/>
      <c r="U55" s="67"/>
      <c r="V55" s="47"/>
      <c r="W55" s="49"/>
      <c r="Y55" s="47"/>
      <c r="Z55" s="49">
        <f>IF($AB$32&gt;=21,"x",0)</f>
        <v>0</v>
      </c>
      <c r="AA55" s="125" t="str">
        <f t="shared" si="2"/>
        <v/>
      </c>
      <c r="AB55" s="47">
        <f>IF(Z55="x",IF(#REF!=0,$B$44,1),0)</f>
        <v>0</v>
      </c>
      <c r="AC55" s="10">
        <f t="shared" si="5"/>
        <v>0</v>
      </c>
      <c r="AD55" s="49">
        <f t="shared" si="1"/>
        <v>0</v>
      </c>
      <c r="AE55" s="67">
        <f t="shared" si="4"/>
        <v>0</v>
      </c>
    </row>
    <row r="56" spans="1:31" ht="30" customHeight="1" thickBot="1" x14ac:dyDescent="0.3">
      <c r="A56" s="391"/>
      <c r="B56" s="391"/>
      <c r="C56" s="391"/>
      <c r="D56" s="391"/>
      <c r="E56" s="391"/>
      <c r="F56" s="391"/>
      <c r="G56" s="73"/>
      <c r="H56" s="73"/>
      <c r="I56" s="73"/>
      <c r="J56" s="392" t="s">
        <v>42</v>
      </c>
      <c r="K56" s="393"/>
      <c r="L56" s="221">
        <f>U65</f>
        <v>258</v>
      </c>
      <c r="M56" s="348" t="s">
        <v>120</v>
      </c>
      <c r="Q56" s="10"/>
      <c r="R56" s="10"/>
      <c r="S56" s="10"/>
      <c r="W56" t="s">
        <v>39</v>
      </c>
      <c r="X56" t="s">
        <v>59</v>
      </c>
      <c r="Y56" t="s">
        <v>60</v>
      </c>
      <c r="Z56" t="s">
        <v>61</v>
      </c>
      <c r="AA56" t="s">
        <v>26</v>
      </c>
    </row>
    <row r="57" spans="1:31" ht="16.5" customHeight="1" thickBot="1" x14ac:dyDescent="0.3">
      <c r="A57" s="216"/>
      <c r="B57" s="184"/>
      <c r="C57" s="215"/>
      <c r="D57" s="216"/>
      <c r="E57" s="184"/>
      <c r="F57" s="215"/>
      <c r="G57" s="73"/>
      <c r="H57" s="73"/>
      <c r="I57" s="105"/>
      <c r="J57" s="372" t="s">
        <v>43</v>
      </c>
      <c r="K57" s="373"/>
      <c r="L57" s="139"/>
      <c r="M57" s="348"/>
      <c r="Q57" s="10"/>
      <c r="R57" s="10"/>
      <c r="S57" s="10"/>
      <c r="T57" s="10" t="s">
        <v>56</v>
      </c>
      <c r="U57" s="134">
        <f>V39+(W39*AA57)+K40+I40</f>
        <v>0</v>
      </c>
      <c r="V57" s="10"/>
      <c r="W57" s="10">
        <f>IF(C40="",0,1)</f>
        <v>1</v>
      </c>
      <c r="X57" s="10">
        <f>IF(J40="",0,1)</f>
        <v>1</v>
      </c>
      <c r="Y57">
        <f>IF(L36=0,0,1)</f>
        <v>1</v>
      </c>
      <c r="Z57">
        <f>IF(C35="",IF(E35="",0,1),1)</f>
        <v>1</v>
      </c>
      <c r="AA57">
        <f>W57*X57*$Y$57*$Z$57</f>
        <v>1</v>
      </c>
    </row>
    <row r="58" spans="1:31" ht="16.5" customHeight="1" x14ac:dyDescent="0.25">
      <c r="A58" s="216"/>
      <c r="B58" s="217"/>
      <c r="C58" s="215"/>
      <c r="D58" s="216"/>
      <c r="E58" s="184"/>
      <c r="F58" s="215"/>
      <c r="G58" s="73"/>
      <c r="H58" s="73"/>
      <c r="I58" s="73"/>
      <c r="J58" s="374" t="s">
        <v>45</v>
      </c>
      <c r="K58" s="375"/>
      <c r="L58" s="378">
        <f>ROUND(L56-L57,0)</f>
        <v>258</v>
      </c>
      <c r="M58" s="214"/>
      <c r="Q58" s="10"/>
      <c r="R58" s="10"/>
      <c r="S58" s="10"/>
      <c r="T58" s="10"/>
      <c r="U58" s="127">
        <f>V41+W41*AA58+K42+I42</f>
        <v>258</v>
      </c>
      <c r="V58" s="10"/>
      <c r="W58" s="10">
        <f>IF(C42="",0,1)</f>
        <v>1</v>
      </c>
      <c r="X58" s="10">
        <f>IF(J42="",0,1)</f>
        <v>1</v>
      </c>
      <c r="AA58">
        <f t="shared" ref="AA58:AA64" si="6">W58*X58*$Y$57*$Z$57</f>
        <v>1</v>
      </c>
    </row>
    <row r="59" spans="1:31" ht="16.5" customHeight="1" thickBot="1" x14ac:dyDescent="0.3">
      <c r="A59" s="216"/>
      <c r="B59" s="217"/>
      <c r="C59" s="215"/>
      <c r="D59" s="216"/>
      <c r="E59" s="218"/>
      <c r="F59" s="215"/>
      <c r="G59" s="105"/>
      <c r="H59" s="105"/>
      <c r="I59" s="105"/>
      <c r="J59" s="376"/>
      <c r="K59" s="377"/>
      <c r="L59" s="379"/>
      <c r="M59" s="348" t="s">
        <v>122</v>
      </c>
      <c r="Q59" s="10"/>
      <c r="R59" s="10"/>
      <c r="S59" s="10"/>
      <c r="T59" s="10"/>
      <c r="U59" s="127">
        <f>V43+W43*AA59+K44+I44</f>
        <v>0</v>
      </c>
      <c r="V59" s="10"/>
      <c r="W59" s="10">
        <f>IF(C44="",0,1)</f>
        <v>1</v>
      </c>
      <c r="X59" s="10">
        <f>IF(J44="",0,1)</f>
        <v>1</v>
      </c>
      <c r="AA59">
        <f t="shared" si="6"/>
        <v>1</v>
      </c>
    </row>
    <row r="60" spans="1:31" ht="16.5" customHeight="1" thickBot="1" x14ac:dyDescent="0.3">
      <c r="A60" s="216"/>
      <c r="B60" s="389" t="s">
        <v>44</v>
      </c>
      <c r="C60" s="389"/>
      <c r="D60" s="389"/>
      <c r="E60" s="142"/>
      <c r="F60" s="215"/>
      <c r="G60" s="105"/>
      <c r="H60" s="105"/>
      <c r="I60" s="105"/>
      <c r="J60" s="73"/>
      <c r="K60" s="73"/>
      <c r="L60" s="147"/>
      <c r="M60" s="348"/>
      <c r="Q60" s="10"/>
      <c r="R60" s="10"/>
      <c r="S60" s="10"/>
      <c r="U60" s="127">
        <f>V45+W45*AA60+K46+I46</f>
        <v>0</v>
      </c>
      <c r="V60" s="10"/>
      <c r="W60" s="10">
        <f>IF(C46="",0,1)</f>
        <v>1</v>
      </c>
      <c r="X60" s="10">
        <f>IF(J46="",0,1)</f>
        <v>1</v>
      </c>
      <c r="AA60">
        <f t="shared" si="6"/>
        <v>1</v>
      </c>
    </row>
    <row r="61" spans="1:31" ht="16.5" customHeight="1" x14ac:dyDescent="0.3">
      <c r="A61" s="216"/>
      <c r="B61" s="217"/>
      <c r="C61" s="215"/>
      <c r="D61" s="216"/>
      <c r="E61" s="218"/>
      <c r="F61" s="215"/>
      <c r="G61" s="73"/>
      <c r="H61" s="73"/>
      <c r="I61" s="73"/>
      <c r="J61" s="73"/>
      <c r="K61" s="73"/>
      <c r="L61" s="147"/>
      <c r="M61" s="172"/>
      <c r="Q61" s="10"/>
      <c r="R61" s="10"/>
      <c r="S61" s="10"/>
      <c r="U61" s="127">
        <f>V47+W47*AA61+K48+I48</f>
        <v>0</v>
      </c>
      <c r="V61" s="10"/>
      <c r="W61" s="10">
        <f>IF(C48="",0,1)</f>
        <v>0</v>
      </c>
      <c r="X61" s="10">
        <f>IF(J48="",0,1)</f>
        <v>0</v>
      </c>
      <c r="AA61">
        <f t="shared" si="6"/>
        <v>0</v>
      </c>
    </row>
    <row r="62" spans="1:31" ht="16.5" customHeight="1" x14ac:dyDescent="0.3">
      <c r="A62" s="216"/>
      <c r="B62" s="217"/>
      <c r="C62" s="215"/>
      <c r="D62" s="216"/>
      <c r="E62" s="218"/>
      <c r="F62" s="215"/>
      <c r="G62" s="105"/>
      <c r="H62" s="105"/>
      <c r="I62" s="73"/>
      <c r="J62" s="73"/>
      <c r="K62" s="73"/>
      <c r="L62" s="147"/>
      <c r="M62" s="172"/>
      <c r="Q62" s="10"/>
      <c r="R62" s="10"/>
      <c r="S62" s="10"/>
      <c r="U62" s="127">
        <f>V49+W49*AA62+K50+I50</f>
        <v>0</v>
      </c>
      <c r="V62" s="10"/>
      <c r="W62" s="10">
        <f>IF(C50="",0,1)</f>
        <v>0</v>
      </c>
      <c r="X62" s="10">
        <f>IF(J50="",0,1)</f>
        <v>0</v>
      </c>
      <c r="AA62">
        <f t="shared" si="6"/>
        <v>0</v>
      </c>
    </row>
    <row r="63" spans="1:31" ht="16.5" customHeight="1" x14ac:dyDescent="0.3">
      <c r="A63" s="216"/>
      <c r="B63" s="217"/>
      <c r="C63" s="215"/>
      <c r="D63" s="216"/>
      <c r="E63" s="218"/>
      <c r="F63" s="215"/>
      <c r="G63" s="349" t="s">
        <v>47</v>
      </c>
      <c r="H63" s="349"/>
      <c r="I63" s="349"/>
      <c r="J63" s="349"/>
      <c r="K63" s="349"/>
      <c r="L63" s="350"/>
      <c r="M63" s="172"/>
      <c r="Q63" s="10"/>
      <c r="R63" s="10"/>
      <c r="S63" s="10"/>
      <c r="U63" s="127">
        <f>V51+W51*AA63+K52+I52</f>
        <v>0</v>
      </c>
      <c r="V63" s="10"/>
      <c r="W63" s="10">
        <f>IF(C52="",0,1)</f>
        <v>0</v>
      </c>
      <c r="X63" s="10">
        <f>IF(J52="",0,1)</f>
        <v>0</v>
      </c>
      <c r="Y63" s="10"/>
      <c r="Z63" s="10"/>
      <c r="AA63">
        <f t="shared" si="6"/>
        <v>0</v>
      </c>
      <c r="AB63" s="10"/>
      <c r="AC63" s="10"/>
      <c r="AD63" s="10"/>
      <c r="AE63" s="10"/>
    </row>
    <row r="64" spans="1:31" ht="16.5" customHeight="1" x14ac:dyDescent="0.3">
      <c r="A64" s="216"/>
      <c r="B64" s="217"/>
      <c r="C64" s="215"/>
      <c r="D64" s="216"/>
      <c r="E64" s="218"/>
      <c r="F64" s="215"/>
      <c r="G64" s="140"/>
      <c r="H64" s="140"/>
      <c r="I64" s="73"/>
      <c r="J64" s="73"/>
      <c r="K64" s="73"/>
      <c r="L64" s="147"/>
      <c r="M64" s="172"/>
      <c r="Q64" s="10"/>
      <c r="R64" s="10"/>
      <c r="S64" s="10"/>
      <c r="U64" s="127">
        <f>V53+W53*AA64+K54+I54</f>
        <v>0</v>
      </c>
      <c r="V64" s="10"/>
      <c r="W64" s="10">
        <f>IF(C54="",0,1)</f>
        <v>0</v>
      </c>
      <c r="X64" s="10">
        <f>IF(J54="",0,1)</f>
        <v>0</v>
      </c>
      <c r="Y64" s="10"/>
      <c r="Z64" s="10"/>
      <c r="AA64">
        <f t="shared" si="6"/>
        <v>0</v>
      </c>
      <c r="AB64" s="10"/>
      <c r="AC64" s="10"/>
      <c r="AD64" s="10"/>
      <c r="AE64" s="10"/>
    </row>
    <row r="65" spans="1:33" ht="16.5" customHeight="1" x14ac:dyDescent="0.3">
      <c r="A65" s="216"/>
      <c r="B65" s="107"/>
      <c r="C65" s="108"/>
      <c r="D65" s="163"/>
      <c r="E65" s="218"/>
      <c r="F65" s="215"/>
      <c r="G65" s="105"/>
      <c r="H65" s="105"/>
      <c r="I65" s="73"/>
      <c r="J65" s="73"/>
      <c r="K65" s="73"/>
      <c r="L65" s="147"/>
      <c r="M65" s="172" t="s">
        <v>76</v>
      </c>
      <c r="Q65" s="10"/>
      <c r="R65" s="31"/>
      <c r="S65" s="31"/>
      <c r="T65" s="31"/>
      <c r="U65" s="128">
        <f>SUM(U57:U64)</f>
        <v>258</v>
      </c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6.5" customHeight="1" x14ac:dyDescent="0.3">
      <c r="A66" s="216"/>
      <c r="B66" s="219" t="s">
        <v>93</v>
      </c>
      <c r="C66" s="220" t="s">
        <v>123</v>
      </c>
      <c r="D66" s="147"/>
      <c r="E66" s="218"/>
      <c r="F66" s="215"/>
      <c r="G66" s="105"/>
      <c r="H66" s="105"/>
      <c r="I66" s="351" t="s">
        <v>48</v>
      </c>
      <c r="J66" s="351"/>
      <c r="K66" s="351"/>
      <c r="L66" s="352"/>
      <c r="M66" s="172"/>
      <c r="Q66" s="10"/>
      <c r="R66" s="31"/>
      <c r="S66" s="31"/>
      <c r="T66" s="31"/>
      <c r="U66" s="127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6.5" customHeight="1" x14ac:dyDescent="0.25">
      <c r="A67" s="81"/>
      <c r="B67" s="109"/>
      <c r="C67" s="110"/>
      <c r="D67" s="164"/>
      <c r="E67" s="218"/>
      <c r="F67" s="215"/>
      <c r="G67" s="105"/>
      <c r="H67" s="105"/>
      <c r="I67" s="105"/>
      <c r="J67" s="105"/>
      <c r="K67" s="103"/>
      <c r="L67" s="162"/>
      <c r="M67" s="348" t="s">
        <v>90</v>
      </c>
      <c r="Q67" s="10"/>
      <c r="R67" s="31"/>
      <c r="S67" s="31"/>
      <c r="T67" s="31"/>
      <c r="U67" s="127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6.5" customHeight="1" x14ac:dyDescent="0.25">
      <c r="A68" s="81"/>
      <c r="B68" s="81"/>
      <c r="C68" s="104"/>
      <c r="D68" s="102"/>
      <c r="E68" s="102"/>
      <c r="F68" s="81"/>
      <c r="G68" s="73"/>
      <c r="H68" s="73"/>
      <c r="I68" s="105"/>
      <c r="M68" s="348"/>
      <c r="R68" s="31"/>
      <c r="S68" s="31"/>
      <c r="T68" s="31"/>
      <c r="U68" s="127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6.5" customHeight="1" x14ac:dyDescent="0.25">
      <c r="A69" s="106"/>
      <c r="B69" s="141"/>
      <c r="C69" s="141"/>
      <c r="D69" s="141"/>
      <c r="E69" s="73"/>
      <c r="F69" s="73"/>
      <c r="G69" s="73"/>
      <c r="H69" s="73"/>
      <c r="I69" s="105"/>
      <c r="M69" s="348"/>
      <c r="R69" s="31"/>
      <c r="S69" s="31"/>
      <c r="T69" s="31"/>
      <c r="U69" s="127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6.5" customHeight="1" x14ac:dyDescent="0.25">
      <c r="E70" s="102"/>
      <c r="F70" s="81"/>
      <c r="G70" s="105"/>
      <c r="H70" s="105"/>
      <c r="I70" s="105"/>
      <c r="M70" s="348"/>
      <c r="R70" s="31"/>
      <c r="S70" s="31"/>
      <c r="T70" s="31"/>
      <c r="U70" s="127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6.2" thickBot="1" x14ac:dyDescent="0.35">
      <c r="A71" s="165"/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8"/>
      <c r="M71" s="172"/>
      <c r="R71" s="31"/>
      <c r="S71" s="31"/>
      <c r="T71" s="31"/>
      <c r="U71" s="12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5">
      <c r="A72" s="73"/>
      <c r="B72" s="73"/>
      <c r="C72" s="73"/>
      <c r="D72" s="68"/>
      <c r="E72" s="68"/>
      <c r="F72" s="68"/>
      <c r="G72" s="68"/>
      <c r="H72" s="68"/>
      <c r="I72" s="68"/>
      <c r="J72" s="68"/>
      <c r="K72" s="68"/>
      <c r="L72" s="68"/>
      <c r="R72" s="31"/>
      <c r="S72" s="31"/>
      <c r="T72" s="31"/>
      <c r="U72" s="12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R73" s="31"/>
      <c r="S73" s="31"/>
      <c r="T73" s="31"/>
      <c r="U73" s="12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R74" s="31"/>
      <c r="S74" s="31"/>
      <c r="T74" s="31"/>
      <c r="U74" s="12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R75" s="31"/>
      <c r="S75" s="31"/>
      <c r="T75" s="31"/>
      <c r="U75" s="12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5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5">
      <c r="R80" s="31"/>
      <c r="S80" s="31"/>
      <c r="T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8:33" x14ac:dyDescent="0.25">
      <c r="R81" s="31"/>
      <c r="S81" s="31"/>
      <c r="T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8:33" x14ac:dyDescent="0.25">
      <c r="R82" s="31"/>
      <c r="S82" s="31"/>
      <c r="T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8:33" x14ac:dyDescent="0.25">
      <c r="R83" s="31"/>
      <c r="S83" s="31"/>
      <c r="T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8:33" x14ac:dyDescent="0.25">
      <c r="R84" s="31"/>
      <c r="S84" s="31"/>
      <c r="T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8:33" x14ac:dyDescent="0.25">
      <c r="R85" s="31"/>
      <c r="S85" s="31"/>
      <c r="T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8:33" x14ac:dyDescent="0.25">
      <c r="R86" s="31"/>
      <c r="S86" s="31"/>
      <c r="T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</sheetData>
  <sheetProtection sheet="1" objects="1" scenarios="1" selectLockedCells="1"/>
  <mergeCells count="133">
    <mergeCell ref="M67:M70"/>
    <mergeCell ref="C3:H3"/>
    <mergeCell ref="A7:C7"/>
    <mergeCell ref="D7:G7"/>
    <mergeCell ref="H7:I7"/>
    <mergeCell ref="D8:F8"/>
    <mergeCell ref="A9:C9"/>
    <mergeCell ref="D9:K9"/>
    <mergeCell ref="A14:C14"/>
    <mergeCell ref="D14:G14"/>
    <mergeCell ref="A16:C16"/>
    <mergeCell ref="D16:L16"/>
    <mergeCell ref="A18:C18"/>
    <mergeCell ref="E18:F19"/>
    <mergeCell ref="G18:I19"/>
    <mergeCell ref="K18:L18"/>
    <mergeCell ref="A10:C10"/>
    <mergeCell ref="D10:F10"/>
    <mergeCell ref="I10:K10"/>
    <mergeCell ref="A12:C12"/>
    <mergeCell ref="D12:K12"/>
    <mergeCell ref="A13:C13"/>
    <mergeCell ref="B34:C34"/>
    <mergeCell ref="D34:D35"/>
    <mergeCell ref="E34:F34"/>
    <mergeCell ref="E35:F35"/>
    <mergeCell ref="A37:B37"/>
    <mergeCell ref="A38:B38"/>
    <mergeCell ref="E38:F38"/>
    <mergeCell ref="B23:F23"/>
    <mergeCell ref="I23:L23"/>
    <mergeCell ref="I24:L24"/>
    <mergeCell ref="D30:G30"/>
    <mergeCell ref="I30:L30"/>
    <mergeCell ref="D31:G31"/>
    <mergeCell ref="I31:L31"/>
    <mergeCell ref="G38:G39"/>
    <mergeCell ref="H38:H39"/>
    <mergeCell ref="L38:L39"/>
    <mergeCell ref="E39:F39"/>
    <mergeCell ref="J38:J39"/>
    <mergeCell ref="M56:M57"/>
    <mergeCell ref="I50:I51"/>
    <mergeCell ref="A56:F56"/>
    <mergeCell ref="J56:K56"/>
    <mergeCell ref="K52:K53"/>
    <mergeCell ref="L52:L53"/>
    <mergeCell ref="E53:F53"/>
    <mergeCell ref="C54:C55"/>
    <mergeCell ref="E54:F54"/>
    <mergeCell ref="G54:G55"/>
    <mergeCell ref="H54:H55"/>
    <mergeCell ref="I54:I55"/>
    <mergeCell ref="J54:J55"/>
    <mergeCell ref="K54:K55"/>
    <mergeCell ref="C52:C53"/>
    <mergeCell ref="E52:F52"/>
    <mergeCell ref="L46:L47"/>
    <mergeCell ref="E47:F47"/>
    <mergeCell ref="C46:C47"/>
    <mergeCell ref="E46:F46"/>
    <mergeCell ref="G46:G47"/>
    <mergeCell ref="H46:H47"/>
    <mergeCell ref="I46:I47"/>
    <mergeCell ref="J46:J47"/>
    <mergeCell ref="L54:L55"/>
    <mergeCell ref="I48:I49"/>
    <mergeCell ref="H50:H51"/>
    <mergeCell ref="H52:H53"/>
    <mergeCell ref="I52:I53"/>
    <mergeCell ref="J52:J53"/>
    <mergeCell ref="L50:L51"/>
    <mergeCell ref="B60:D60"/>
    <mergeCell ref="C48:C49"/>
    <mergeCell ref="E48:F48"/>
    <mergeCell ref="G48:G49"/>
    <mergeCell ref="H48:H49"/>
    <mergeCell ref="E49:F49"/>
    <mergeCell ref="J48:J49"/>
    <mergeCell ref="K46:K47"/>
    <mergeCell ref="H42:H43"/>
    <mergeCell ref="I42:I43"/>
    <mergeCell ref="J42:J43"/>
    <mergeCell ref="K42:K43"/>
    <mergeCell ref="G42:G43"/>
    <mergeCell ref="A1:L1"/>
    <mergeCell ref="J57:K57"/>
    <mergeCell ref="J58:K59"/>
    <mergeCell ref="L58:L59"/>
    <mergeCell ref="M17:M20"/>
    <mergeCell ref="M22:M27"/>
    <mergeCell ref="M28:M29"/>
    <mergeCell ref="G52:G53"/>
    <mergeCell ref="C50:C51"/>
    <mergeCell ref="E50:F50"/>
    <mergeCell ref="G50:G51"/>
    <mergeCell ref="K19:L19"/>
    <mergeCell ref="E51:F51"/>
    <mergeCell ref="L42:L43"/>
    <mergeCell ref="E43:F43"/>
    <mergeCell ref="C40:C41"/>
    <mergeCell ref="E40:F40"/>
    <mergeCell ref="G40:G41"/>
    <mergeCell ref="H40:H41"/>
    <mergeCell ref="I40:I41"/>
    <mergeCell ref="J40:J41"/>
    <mergeCell ref="K40:K41"/>
    <mergeCell ref="L40:L41"/>
    <mergeCell ref="M30:M31"/>
    <mergeCell ref="M44:M49"/>
    <mergeCell ref="M59:M60"/>
    <mergeCell ref="G63:L63"/>
    <mergeCell ref="I66:L66"/>
    <mergeCell ref="A46:B47"/>
    <mergeCell ref="M33:M40"/>
    <mergeCell ref="C44:C45"/>
    <mergeCell ref="E44:F44"/>
    <mergeCell ref="G44:G45"/>
    <mergeCell ref="H44:H45"/>
    <mergeCell ref="I44:I45"/>
    <mergeCell ref="J44:J45"/>
    <mergeCell ref="K44:K45"/>
    <mergeCell ref="L44:L45"/>
    <mergeCell ref="E45:F45"/>
    <mergeCell ref="A42:B42"/>
    <mergeCell ref="C42:C43"/>
    <mergeCell ref="E42:F42"/>
    <mergeCell ref="K48:K49"/>
    <mergeCell ref="L48:L49"/>
    <mergeCell ref="E55:F55"/>
    <mergeCell ref="J50:J51"/>
    <mergeCell ref="K50:K51"/>
    <mergeCell ref="E41:F41"/>
  </mergeCells>
  <pageMargins left="0.41" right="0.15748031496062992" top="0.2" bottom="0.19" header="0.17" footer="0.15748031496062992"/>
  <pageSetup paperSize="9" scale="75" orientation="portrait" blackAndWhite="1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data-Vyplní jednotka !</vt:lpstr>
      <vt:lpstr>el. vyplnění</vt:lpstr>
      <vt:lpstr>VZOR</vt:lpstr>
      <vt:lpstr>'el. vyplnění'!amos1</vt:lpstr>
      <vt:lpstr>'el. vyplnění'!amos2</vt:lpstr>
      <vt:lpstr>'el. vyplnění'!amos3</vt:lpstr>
      <vt:lpstr>'el. vyplnění'!Oblast_tisku</vt:lpstr>
      <vt:lpstr>VZOR!Oblast_tisku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katerina.musilova</dc:creator>
  <cp:lastModifiedBy>Janek</cp:lastModifiedBy>
  <cp:lastPrinted>2017-07-11T10:51:30Z</cp:lastPrinted>
  <dcterms:created xsi:type="dcterms:W3CDTF">2012-01-06T09:08:40Z</dcterms:created>
  <dcterms:modified xsi:type="dcterms:W3CDTF">2022-06-10T09:41:59Z</dcterms:modified>
</cp:coreProperties>
</file>