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ownloads\"/>
    </mc:Choice>
  </mc:AlternateContent>
  <xr:revisionPtr revIDLastSave="0" documentId="13_ncr:1_{20663497-10F1-430A-A92E-F00CC5666C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81029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AA6" i="7" l="1"/>
  <c r="G38" i="5"/>
  <c r="W43" i="5" s="1"/>
  <c r="W39" i="5"/>
  <c r="W57" i="5"/>
  <c r="X57" i="5"/>
  <c r="L36" i="5"/>
  <c r="Y57" i="5" s="1"/>
  <c r="Z57" i="5"/>
  <c r="U41" i="5"/>
  <c r="W58" i="5"/>
  <c r="X58" i="5"/>
  <c r="U43" i="5"/>
  <c r="W59" i="5"/>
  <c r="X59" i="5"/>
  <c r="U45" i="5"/>
  <c r="W60" i="5"/>
  <c r="X60" i="5"/>
  <c r="V47" i="5"/>
  <c r="W61" i="5"/>
  <c r="X61" i="5"/>
  <c r="V49" i="5"/>
  <c r="W62" i="5"/>
  <c r="X62" i="5"/>
  <c r="W63" i="5"/>
  <c r="X63" i="5"/>
  <c r="W64" i="5"/>
  <c r="X64" i="5"/>
  <c r="C3" i="6"/>
  <c r="C5" i="6"/>
  <c r="C4" i="6"/>
  <c r="X8" i="7"/>
  <c r="W10" i="7"/>
  <c r="B49" i="6"/>
  <c r="Z27" i="7"/>
  <c r="Y27" i="7"/>
  <c r="G38" i="6"/>
  <c r="AA31" i="7" s="1"/>
  <c r="Z13" i="7"/>
  <c r="AA13" i="7"/>
  <c r="AC13" i="7"/>
  <c r="M44" i="6"/>
  <c r="M46" i="6"/>
  <c r="M48" i="6"/>
  <c r="M50" i="6"/>
  <c r="M52" i="6"/>
  <c r="M54" i="6"/>
  <c r="Z29" i="7"/>
  <c r="Z14" i="7"/>
  <c r="AA14" i="7"/>
  <c r="Z31" i="7"/>
  <c r="Z15" i="7"/>
  <c r="AA15" i="7"/>
  <c r="Z33" i="7"/>
  <c r="Z16" i="7"/>
  <c r="AA16" i="7"/>
  <c r="Z35" i="7"/>
  <c r="Z17" i="7"/>
  <c r="AA17" i="7"/>
  <c r="Z37" i="7"/>
  <c r="Z18" i="7"/>
  <c r="AA18" i="7"/>
  <c r="Z39" i="7"/>
  <c r="Z19" i="7"/>
  <c r="AA19" i="7"/>
  <c r="Z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 s="1"/>
  <c r="B34" i="6"/>
  <c r="J31" i="6"/>
  <c r="J30" i="6" s="1"/>
  <c r="J24" i="6"/>
  <c r="J23" i="6" s="1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 s="1"/>
  <c r="U39" i="5"/>
  <c r="U34" i="5"/>
  <c r="I34" i="5"/>
  <c r="D34" i="5"/>
  <c r="E34" i="5" s="1"/>
  <c r="B34" i="5"/>
  <c r="AB32" i="5"/>
  <c r="Z53" i="5" s="1"/>
  <c r="I31" i="5"/>
  <c r="I30" i="5" s="1"/>
  <c r="AB29" i="5"/>
  <c r="Z33" i="5" s="1"/>
  <c r="U29" i="5"/>
  <c r="I24" i="5"/>
  <c r="I23" i="5" s="1"/>
  <c r="J18" i="5"/>
  <c r="E18" i="5"/>
  <c r="AC51" i="5"/>
  <c r="AC37" i="5"/>
  <c r="AC41" i="5"/>
  <c r="AC45" i="5"/>
  <c r="AC34" i="5"/>
  <c r="AC38" i="5"/>
  <c r="AC42" i="5"/>
  <c r="AC46" i="5"/>
  <c r="AC52" i="5"/>
  <c r="AC39" i="5"/>
  <c r="AC43" i="5"/>
  <c r="AC47" i="5"/>
  <c r="AC53" i="5"/>
  <c r="AC54" i="5"/>
  <c r="AC35" i="5"/>
  <c r="AC36" i="5"/>
  <c r="AC48" i="5"/>
  <c r="Z54" i="5"/>
  <c r="AB54" i="5" s="1"/>
  <c r="AD54" i="5" s="1"/>
  <c r="AE54" i="5" s="1"/>
  <c r="AC40" i="5"/>
  <c r="AC44" i="5"/>
  <c r="AC49" i="5"/>
  <c r="AC50" i="5"/>
  <c r="AA57" i="5" l="1"/>
  <c r="AA8" i="7"/>
  <c r="AA7" i="7"/>
  <c r="X7" i="7" s="1"/>
  <c r="AA41" i="7"/>
  <c r="AA39" i="7"/>
  <c r="AA37" i="7"/>
  <c r="AA35" i="7"/>
  <c r="AA33" i="7"/>
  <c r="AA60" i="5"/>
  <c r="AA64" i="5"/>
  <c r="AA62" i="5"/>
  <c r="Z46" i="5"/>
  <c r="Z49" i="5"/>
  <c r="AA58" i="5"/>
  <c r="Z40" i="5"/>
  <c r="AB40" i="5" s="1"/>
  <c r="AD40" i="5" s="1"/>
  <c r="AE40" i="5" s="1"/>
  <c r="Z39" i="5"/>
  <c r="AA63" i="5"/>
  <c r="AA59" i="5"/>
  <c r="W36" i="5"/>
  <c r="A48" i="5" s="1"/>
  <c r="Z35" i="5"/>
  <c r="AA35" i="5" s="1"/>
  <c r="Z41" i="5"/>
  <c r="AA41" i="5" s="1"/>
  <c r="Z48" i="5"/>
  <c r="AA61" i="5"/>
  <c r="AB13" i="7"/>
  <c r="AD20" i="7" s="1"/>
  <c r="AA53" i="5"/>
  <c r="AB53" i="5"/>
  <c r="AD53" i="5" s="1"/>
  <c r="AE53" i="5" s="1"/>
  <c r="Z45" i="5"/>
  <c r="W53" i="5"/>
  <c r="W45" i="5"/>
  <c r="AB34" i="5"/>
  <c r="AD34" i="5" s="1"/>
  <c r="AE34" i="5" s="1"/>
  <c r="AA54" i="5"/>
  <c r="Z47" i="5"/>
  <c r="Z52" i="5"/>
  <c r="Z37" i="5"/>
  <c r="V53" i="5"/>
  <c r="V43" i="5"/>
  <c r="V41" i="5"/>
  <c r="AA40" i="5"/>
  <c r="Z38" i="5"/>
  <c r="Z50" i="5"/>
  <c r="Z55" i="5"/>
  <c r="Z43" i="5"/>
  <c r="Z51" i="5"/>
  <c r="Z42" i="5"/>
  <c r="AB41" i="5" s="1"/>
  <c r="AD41" i="5" s="1"/>
  <c r="AE41" i="5" s="1"/>
  <c r="W47" i="5"/>
  <c r="U61" i="5" s="1"/>
  <c r="V45" i="5"/>
  <c r="U60" i="5" s="1"/>
  <c r="L46" i="5" s="1"/>
  <c r="V39" i="5"/>
  <c r="U57" i="5" s="1"/>
  <c r="Z36" i="5"/>
  <c r="AB35" i="5" s="1"/>
  <c r="AD35" i="5" s="1"/>
  <c r="AE35" i="5" s="1"/>
  <c r="Z44" i="5"/>
  <c r="W49" i="5"/>
  <c r="W51" i="5"/>
  <c r="W41" i="5"/>
  <c r="V51" i="5"/>
  <c r="U63" i="5" s="1"/>
  <c r="B35" i="6" l="1"/>
  <c r="U62" i="5"/>
  <c r="U59" i="5"/>
  <c r="L44" i="5" s="1"/>
  <c r="X20" i="7"/>
  <c r="A48" i="6"/>
  <c r="AA29" i="7"/>
  <c r="AA27" i="7"/>
  <c r="AA48" i="5"/>
  <c r="AB48" i="5"/>
  <c r="AD48" i="5" s="1"/>
  <c r="AE48" i="5" s="1"/>
  <c r="AB49" i="5"/>
  <c r="AD49" i="5" s="1"/>
  <c r="AE49" i="5" s="1"/>
  <c r="AA49" i="5"/>
  <c r="AA39" i="5"/>
  <c r="AB39" i="5"/>
  <c r="AD39" i="5" s="1"/>
  <c r="AE39" i="5" s="1"/>
  <c r="AA46" i="5"/>
  <c r="AB46" i="5"/>
  <c r="AD46" i="5" s="1"/>
  <c r="AE46" i="5" s="1"/>
  <c r="AD17" i="7"/>
  <c r="X17" i="7" s="1"/>
  <c r="AD18" i="7"/>
  <c r="X18" i="7" s="1"/>
  <c r="AD16" i="7"/>
  <c r="X16" i="7" s="1"/>
  <c r="AD19" i="7"/>
  <c r="X19" i="7" s="1"/>
  <c r="AD13" i="7"/>
  <c r="AD14" i="7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U65" i="5" l="1"/>
  <c r="L56" i="5" s="1"/>
  <c r="L58" i="5" s="1"/>
  <c r="X13" i="7"/>
  <c r="M40" i="6" s="1"/>
  <c r="X14" i="7"/>
  <c r="M42" i="6" s="1"/>
  <c r="X23" i="7" l="1"/>
  <c r="M56" i="6" s="1"/>
  <c r="M58" i="6" s="1"/>
  <c r="X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Katerina Musilova</author>
    <author>katerina.musilova</author>
  </authors>
  <commentList>
    <comment ref="F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katerina.musilova</author>
  </authors>
  <commentList>
    <comment ref="D1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<sst xmlns="http://schemas.openxmlformats.org/spreadsheetml/2006/main" count="220" uniqueCount="131">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</sst>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5" fillId="3" borderId="0" xfId="0" applyNumberFormat="1" applyFont="1" applyFill="1" applyAlignment="1" applyProtection="1">
      <alignment horizontal="left"/>
      <protection locked="0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vertical="top" wrapText="1"/>
      <protection locked="0"/>
    </xf>
    <xf numFmtId="2" fontId="0" fillId="0" borderId="0" xfId="0" applyNumberFormat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Border="1"/>
    <xf numFmtId="20" fontId="0" fillId="0" borderId="43" xfId="0" applyNumberFormat="1" applyBorder="1"/>
    <xf numFmtId="0" fontId="0" fillId="0" borderId="46" xfId="0" applyBorder="1"/>
    <xf numFmtId="0" fontId="0" fillId="0" borderId="26" xfId="0" applyBorder="1"/>
    <xf numFmtId="0" fontId="2" fillId="0" borderId="0" xfId="0" applyFont="1" applyAlignment="1">
      <alignment vertical="top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20" fontId="0" fillId="3" borderId="30" xfId="0" applyNumberFormat="1" applyFill="1" applyBorder="1" applyAlignment="1">
      <alignment horizontal="center"/>
    </xf>
    <xf numFmtId="20" fontId="0" fillId="3" borderId="2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4" fillId="0" borderId="0" xfId="0" applyFont="1" applyAlignment="1" applyProtection="1">
      <alignment horizontal="left"/>
      <protection locked="0"/>
    </xf>
    <xf numFmtId="0" fontId="0" fillId="0" borderId="3" xfId="0" applyBorder="1" applyAlignment="1">
      <alignment vertical="center"/>
    </xf>
    <xf numFmtId="164" fontId="0" fillId="0" borderId="3" xfId="0" applyNumberFormat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3" borderId="0" xfId="0" applyFont="1" applyFill="1" applyProtection="1">
      <protection locked="0"/>
    </xf>
    <xf numFmtId="164" fontId="5" fillId="3" borderId="0" xfId="0" applyNumberFormat="1" applyFont="1" applyFill="1" applyAlignment="1">
      <alignment horizontal="left"/>
    </xf>
    <xf numFmtId="168" fontId="9" fillId="5" borderId="13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5" xfId="0" applyFont="1" applyBorder="1"/>
    <xf numFmtId="0" fontId="6" fillId="0" borderId="5" xfId="0" applyFont="1" applyBorder="1"/>
    <xf numFmtId="0" fontId="6" fillId="0" borderId="58" xfId="0" applyFont="1" applyBorder="1"/>
    <xf numFmtId="0" fontId="6" fillId="0" borderId="59" xfId="0" applyFont="1" applyBorder="1"/>
    <xf numFmtId="0" fontId="12" fillId="0" borderId="5" xfId="0" applyFont="1" applyBorder="1"/>
    <xf numFmtId="166" fontId="0" fillId="0" borderId="6" xfId="0" applyNumberFormat="1" applyBorder="1"/>
    <xf numFmtId="20" fontId="0" fillId="0" borderId="61" xfId="0" applyNumberFormat="1" applyBorder="1"/>
    <xf numFmtId="20" fontId="0" fillId="0" borderId="59" xfId="0" applyNumberFormat="1" applyBorder="1"/>
    <xf numFmtId="0" fontId="20" fillId="7" borderId="0" xfId="0" applyFont="1" applyFill="1" applyAlignment="1">
      <alignment horizontal="left" vertical="top" wrapText="1"/>
    </xf>
    <xf numFmtId="0" fontId="0" fillId="7" borderId="0" xfId="0" applyFill="1"/>
    <xf numFmtId="0" fontId="19" fillId="7" borderId="0" xfId="0" applyFont="1" applyFill="1"/>
    <xf numFmtId="0" fontId="8" fillId="7" borderId="0" xfId="0" applyFont="1" applyFill="1"/>
    <xf numFmtId="0" fontId="4" fillId="8" borderId="0" xfId="0" applyFont="1" applyFill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20" fontId="12" fillId="0" borderId="44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0" fontId="0" fillId="0" borderId="62" xfId="0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27" fillId="0" borderId="0" xfId="0" applyFont="1"/>
    <xf numFmtId="167" fontId="27" fillId="0" borderId="0" xfId="0" applyNumberFormat="1" applyFont="1"/>
    <xf numFmtId="167" fontId="28" fillId="0" borderId="0" xfId="0" applyNumberFormat="1" applyFont="1"/>
    <xf numFmtId="0" fontId="27" fillId="0" borderId="2" xfId="0" applyFont="1" applyBorder="1"/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7" fillId="0" borderId="5" xfId="0" applyFont="1" applyBorder="1"/>
    <xf numFmtId="0" fontId="27" fillId="0" borderId="20" xfId="0" applyFont="1" applyBorder="1"/>
    <xf numFmtId="167" fontId="27" fillId="0" borderId="3" xfId="0" applyNumberFormat="1" applyFont="1" applyBorder="1"/>
    <xf numFmtId="0" fontId="27" fillId="0" borderId="4" xfId="0" applyFont="1" applyBorder="1"/>
    <xf numFmtId="0" fontId="27" fillId="0" borderId="34" xfId="0" applyFont="1" applyBorder="1"/>
    <xf numFmtId="0" fontId="27" fillId="0" borderId="6" xfId="0" applyFont="1" applyBorder="1"/>
    <xf numFmtId="0" fontId="27" fillId="0" borderId="21" xfId="0" applyFont="1" applyBorder="1"/>
    <xf numFmtId="0" fontId="27" fillId="0" borderId="26" xfId="0" applyFont="1" applyBorder="1"/>
    <xf numFmtId="0" fontId="27" fillId="0" borderId="27" xfId="0" applyFont="1" applyBorder="1"/>
    <xf numFmtId="0" fontId="31" fillId="0" borderId="0" xfId="0" applyFont="1"/>
    <xf numFmtId="2" fontId="29" fillId="6" borderId="0" xfId="0" applyNumberFormat="1" applyFont="1" applyFill="1"/>
    <xf numFmtId="0" fontId="8" fillId="7" borderId="5" xfId="0" applyFont="1" applyFill="1" applyBorder="1" applyAlignment="1">
      <alignment vertical="top" wrapText="1"/>
    </xf>
    <xf numFmtId="0" fontId="17" fillId="0" borderId="0" xfId="0" applyFont="1" applyProtection="1">
      <protection locked="0"/>
    </xf>
    <xf numFmtId="0" fontId="17" fillId="0" borderId="0" xfId="0" applyFont="1" applyAlignment="1">
      <alignment horizontal="left" vertical="center"/>
    </xf>
    <xf numFmtId="20" fontId="12" fillId="0" borderId="44" xfId="0" applyNumberFormat="1" applyFont="1" applyBorder="1"/>
    <xf numFmtId="20" fontId="12" fillId="0" borderId="0" xfId="0" applyNumberFormat="1" applyFont="1"/>
    <xf numFmtId="167" fontId="8" fillId="6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Alignment="1">
      <alignment horizontal="left" vertical="top" wrapText="1"/>
    </xf>
    <xf numFmtId="0" fontId="9" fillId="2" borderId="8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0" fillId="0" borderId="0" xfId="0" applyAlignment="1">
      <alignment horizontal="left" vertical="top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/>
    <xf numFmtId="164" fontId="17" fillId="0" borderId="0" xfId="0" applyNumberFormat="1" applyFont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/>
    <xf numFmtId="2" fontId="17" fillId="0" borderId="0" xfId="0" applyNumberFormat="1" applyFont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/>
    <xf numFmtId="0" fontId="17" fillId="5" borderId="63" xfId="0" applyFont="1" applyFill="1" applyBorder="1" applyProtection="1">
      <protection locked="0"/>
    </xf>
    <xf numFmtId="0" fontId="0" fillId="6" borderId="0" xfId="0" applyFill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3" fillId="0" borderId="1" xfId="0" applyNumberFormat="1" applyFont="1" applyBorder="1" applyAlignment="1">
      <alignment horizontal="left"/>
    </xf>
    <xf numFmtId="164" fontId="13" fillId="0" borderId="47" xfId="0" applyNumberFormat="1" applyFont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>
      <alignment horizontal="center" vertical="center"/>
    </xf>
    <xf numFmtId="167" fontId="0" fillId="13" borderId="33" xfId="0" applyNumberFormat="1" applyFill="1" applyBorder="1" applyAlignment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18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 vertical="top" wrapText="1"/>
    </xf>
    <xf numFmtId="0" fontId="4" fillId="3" borderId="0" xfId="0" applyFont="1" applyFill="1" applyAlignment="1" applyProtection="1">
      <alignment horizontal="left" vertical="top" wrapText="1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 vertical="top"/>
      <protection locked="0"/>
    </xf>
    <xf numFmtId="0" fontId="16" fillId="2" borderId="0" xfId="0" applyFont="1" applyFill="1" applyAlignment="1">
      <alignment horizontal="left"/>
    </xf>
    <xf numFmtId="0" fontId="8" fillId="7" borderId="5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164" fontId="0" fillId="3" borderId="35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67" fontId="0" fillId="3" borderId="36" xfId="0" applyNumberFormat="1" applyFill="1" applyBorder="1" applyAlignment="1">
      <alignment horizontal="center" vertical="center"/>
    </xf>
    <xf numFmtId="167" fontId="0" fillId="3" borderId="31" xfId="0" applyNumberFormat="1" applyFill="1" applyBorder="1" applyAlignment="1">
      <alignment horizontal="center" vertical="center"/>
    </xf>
    <xf numFmtId="167" fontId="0" fillId="3" borderId="37" xfId="0" applyNumberFormat="1" applyFill="1" applyBorder="1" applyAlignment="1">
      <alignment horizontal="center" vertical="center"/>
    </xf>
    <xf numFmtId="167" fontId="0" fillId="3" borderId="32" xfId="0" applyNumberFormat="1" applyFill="1" applyBorder="1" applyAlignment="1">
      <alignment horizontal="center" vertical="center"/>
    </xf>
    <xf numFmtId="167" fontId="0" fillId="5" borderId="38" xfId="0" applyNumberFormat="1" applyFill="1" applyBorder="1" applyAlignment="1">
      <alignment horizontal="center" vertical="center"/>
    </xf>
    <xf numFmtId="167" fontId="0" fillId="5" borderId="33" xfId="0" applyNumberForma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8" fillId="7" borderId="0" xfId="0" applyFont="1" applyFill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164" fontId="0" fillId="3" borderId="28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167" fontId="0" fillId="3" borderId="18" xfId="0" applyNumberFormat="1" applyFill="1" applyBorder="1" applyAlignment="1">
      <alignment horizontal="center" vertical="center"/>
    </xf>
    <xf numFmtId="167" fontId="0" fillId="3" borderId="19" xfId="0" applyNumberFormat="1" applyFill="1" applyBorder="1" applyAlignment="1">
      <alignment horizontal="center" vertical="center"/>
    </xf>
    <xf numFmtId="167" fontId="0" fillId="5" borderId="20" xfId="0" applyNumberFormat="1" applyFill="1" applyBorder="1" applyAlignment="1">
      <alignment horizontal="center" vertical="center"/>
    </xf>
    <xf numFmtId="167" fontId="0" fillId="5" borderId="26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7" fontId="0" fillId="3" borderId="23" xfId="0" applyNumberFormat="1" applyFill="1" applyBorder="1" applyAlignment="1">
      <alignment horizontal="center" vertical="center"/>
    </xf>
    <xf numFmtId="167" fontId="0" fillId="3" borderId="25" xfId="0" applyNumberFormat="1" applyFill="1" applyBorder="1" applyAlignment="1">
      <alignment horizontal="center" vertic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left"/>
    </xf>
    <xf numFmtId="3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 vertical="top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E48"/>
  <sheetViews>
    <sheetView tabSelected="1" topLeftCell="A4" zoomScaleNormal="100" workbookViewId="0">
      <selection activeCell="E25" sqref="E25"/>
    </sheetView>
  </sheetViews>
  <sheetFormatPr defaultRowHeight="13.2" outlineLevelCol="1" x14ac:dyDescent="0.25"/>
  <cols>
    <col min="1" max="1" width="12.109375" customWidth="1"/>
    <col min="2" max="2" width="10.88671875" customWidth="1"/>
    <col min="4" max="4" width="8.44140625" customWidth="1"/>
    <col min="5" max="5" width="10.44140625" customWidth="1"/>
    <col min="13" max="13" width="11" customWidth="1"/>
    <col min="21" max="21" width="11.44140625" bestFit="1" customWidth="1"/>
    <col min="23" max="31" width="9.109375" customWidth="1" outlineLevel="1"/>
  </cols>
  <sheetData>
    <row r="1" spans="1:31" ht="58.5" customHeight="1" x14ac:dyDescent="0.2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31" x14ac:dyDescent="0.25">
      <c r="J2" s="114"/>
      <c r="K2" s="114"/>
      <c r="L2" s="114"/>
      <c r="M2" s="114"/>
      <c r="W2" s="127" t="s">
        <v>94</v>
      </c>
      <c r="Y2" s="127" t="s">
        <v>95</v>
      </c>
    </row>
    <row r="3" spans="1:31" ht="22.8" x14ac:dyDescent="0.4">
      <c r="A3" s="145"/>
      <c r="B3" s="160" t="s">
        <v>103</v>
      </c>
      <c r="C3" s="145"/>
      <c r="D3" s="145"/>
      <c r="E3" s="145"/>
      <c r="F3" s="145"/>
      <c r="G3" s="145"/>
      <c r="H3" s="145"/>
      <c r="I3" s="145"/>
      <c r="J3" s="114"/>
      <c r="K3" s="114"/>
      <c r="L3" s="114"/>
      <c r="M3" s="114"/>
    </row>
    <row r="4" spans="1:31" ht="20.25" customHeight="1" x14ac:dyDescent="0.3">
      <c r="A4" s="10" t="s">
        <v>104</v>
      </c>
      <c r="B4" s="175"/>
      <c r="C4" s="175"/>
      <c r="D4" s="175"/>
      <c r="E4" s="175"/>
      <c r="F4" s="175"/>
      <c r="G4" s="175"/>
      <c r="H4" s="175"/>
      <c r="I4" s="175"/>
      <c r="J4" s="114" t="s">
        <v>107</v>
      </c>
      <c r="K4" s="114"/>
      <c r="L4" s="114"/>
      <c r="M4" s="114"/>
    </row>
    <row r="5" spans="1:31" ht="20.25" customHeight="1" x14ac:dyDescent="0.3">
      <c r="A5" s="10" t="s">
        <v>105</v>
      </c>
      <c r="B5" s="180"/>
      <c r="C5" s="181"/>
      <c r="D5" s="181"/>
      <c r="E5" s="181"/>
      <c r="F5" s="181"/>
      <c r="G5" s="181"/>
      <c r="H5" s="181"/>
      <c r="I5" s="182"/>
      <c r="J5" s="146" t="s">
        <v>111</v>
      </c>
      <c r="K5" s="114"/>
      <c r="L5" s="114"/>
      <c r="M5" s="114"/>
      <c r="W5" t="s">
        <v>102</v>
      </c>
    </row>
    <row r="6" spans="1:31" ht="15.6" x14ac:dyDescent="0.3">
      <c r="A6" s="10" t="s">
        <v>106</v>
      </c>
      <c r="B6" s="176"/>
      <c r="C6" s="176"/>
      <c r="D6" s="164"/>
      <c r="E6" s="164"/>
      <c r="F6" s="165"/>
      <c r="G6" s="165"/>
      <c r="H6" s="165"/>
      <c r="I6" s="165"/>
      <c r="J6" s="114"/>
      <c r="K6" s="114"/>
      <c r="L6" s="114"/>
      <c r="M6" s="114"/>
      <c r="W6" s="129" t="s">
        <v>57</v>
      </c>
      <c r="X6" s="129" t="s">
        <v>19</v>
      </c>
      <c r="Z6" s="129" t="s">
        <v>97</v>
      </c>
      <c r="AA6" s="129">
        <f>YEAR('el. vyplnění'!F13)</f>
        <v>1900</v>
      </c>
    </row>
    <row r="7" spans="1:31" ht="15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14"/>
      <c r="K7" s="114"/>
      <c r="L7" s="114"/>
      <c r="M7" s="114"/>
      <c r="W7" s="129"/>
      <c r="X7" s="129">
        <f>IF('el. vyplnění'!D18="ne",0,'el. vyplnění'!M36/100*IF('el. vyplnění'!C35="",IF('el. vyplnění'!E35="nafta",AA7,IF('el. vyplnění'!E35="natural 95",AA8,0)),'el. vyplnění'!C35))</f>
        <v>0</v>
      </c>
      <c r="Z7" s="129" t="s">
        <v>49</v>
      </c>
      <c r="AA7" s="129" t="e">
        <f>VLOOKUP(AA6,A15:B32,2,0)</f>
        <v>#N/A</v>
      </c>
    </row>
    <row r="8" spans="1:31" ht="15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14"/>
      <c r="K8" s="114"/>
      <c r="L8" s="114"/>
      <c r="M8" s="114"/>
      <c r="W8" s="129" t="s">
        <v>101</v>
      </c>
      <c r="X8" s="129">
        <f>ROUND(('el. vyplnění'!J36*4+'el. vyplnění'!K36*7)/11,1)</f>
        <v>0</v>
      </c>
      <c r="Z8" s="129" t="s">
        <v>89</v>
      </c>
      <c r="AA8" s="129" t="e">
        <f>VLOOKUP(AA6,D15:E32,2,0)</f>
        <v>#N/A</v>
      </c>
    </row>
    <row r="9" spans="1:31" ht="16.2" thickBot="1" x14ac:dyDescent="0.35">
      <c r="A9" s="165" t="s">
        <v>98</v>
      </c>
      <c r="B9" s="165"/>
      <c r="C9" s="165"/>
      <c r="D9" s="165"/>
      <c r="E9" s="165"/>
      <c r="F9" s="165"/>
      <c r="G9" s="165"/>
      <c r="H9" s="165"/>
      <c r="I9" s="166"/>
      <c r="J9" s="114" t="s">
        <v>110</v>
      </c>
      <c r="K9" s="114"/>
      <c r="L9" s="114"/>
      <c r="M9" s="114"/>
      <c r="W9" s="129"/>
      <c r="X9" s="129"/>
    </row>
    <row r="10" spans="1:31" ht="16.2" thickBot="1" x14ac:dyDescent="0.35">
      <c r="A10" s="10" t="s">
        <v>99</v>
      </c>
      <c r="B10" s="167">
        <v>15</v>
      </c>
      <c r="C10" s="165"/>
      <c r="D10" s="165"/>
      <c r="E10" s="165"/>
      <c r="F10" s="165"/>
      <c r="G10" s="165"/>
      <c r="H10" s="165"/>
      <c r="I10" s="168"/>
      <c r="J10" s="114" t="s">
        <v>108</v>
      </c>
      <c r="K10" s="114"/>
      <c r="L10" s="114"/>
      <c r="M10" s="114"/>
      <c r="W10" s="129">
        <f>'el. vyplnění'!K40*B10%</f>
        <v>0</v>
      </c>
      <c r="X10" s="129"/>
    </row>
    <row r="11" spans="1:31" ht="15" x14ac:dyDescent="0.25">
      <c r="A11" s="165"/>
      <c r="B11" s="165"/>
      <c r="C11" s="165"/>
      <c r="D11" s="165"/>
      <c r="E11" s="165"/>
      <c r="F11" s="165"/>
      <c r="G11" s="165"/>
      <c r="H11" s="165"/>
      <c r="I11" s="165"/>
      <c r="J11" s="114"/>
      <c r="K11" s="114"/>
      <c r="L11" s="114"/>
      <c r="M11" s="114"/>
      <c r="W11" s="129"/>
      <c r="X11" s="129"/>
    </row>
    <row r="12" spans="1:31" ht="15" x14ac:dyDescent="0.25">
      <c r="A12" s="165"/>
      <c r="B12" s="165"/>
      <c r="C12" s="165"/>
      <c r="D12" s="165"/>
      <c r="E12" s="165"/>
      <c r="F12" s="165"/>
      <c r="G12" s="165"/>
      <c r="H12" s="165"/>
      <c r="I12" s="165"/>
      <c r="J12" s="114"/>
      <c r="K12" s="114"/>
      <c r="L12" s="114"/>
      <c r="M12" s="114"/>
      <c r="W12" s="129"/>
      <c r="X12" s="129"/>
      <c r="Y12" s="129"/>
      <c r="Z12" s="129" t="s">
        <v>39</v>
      </c>
      <c r="AA12" s="129" t="s">
        <v>59</v>
      </c>
      <c r="AB12" s="129" t="s">
        <v>60</v>
      </c>
      <c r="AC12" s="129" t="s">
        <v>61</v>
      </c>
      <c r="AD12" s="129" t="s">
        <v>26</v>
      </c>
      <c r="AE12" s="129"/>
    </row>
    <row r="13" spans="1:31" ht="15.6" x14ac:dyDescent="0.3">
      <c r="A13" s="10" t="s">
        <v>96</v>
      </c>
      <c r="B13" s="165"/>
      <c r="C13" s="165"/>
      <c r="D13" s="165"/>
      <c r="E13" s="165"/>
      <c r="F13" s="165"/>
      <c r="G13" s="169"/>
      <c r="H13" s="165"/>
      <c r="I13" s="165"/>
      <c r="J13" s="114"/>
      <c r="K13" s="114"/>
      <c r="L13" s="114"/>
      <c r="M13" s="114"/>
      <c r="W13" s="129" t="s">
        <v>56</v>
      </c>
      <c r="X13" s="130">
        <f>Z27+(AA27*AD13)+'el. vyplnění'!L40+'el. vyplnění'!J40</f>
        <v>0</v>
      </c>
      <c r="Y13" s="129"/>
      <c r="Z13" s="129">
        <f>IF('el. vyplnění'!C40="",0,1)</f>
        <v>0</v>
      </c>
      <c r="AA13" s="129">
        <f>IF('el. vyplnění'!K40="",0,1)</f>
        <v>0</v>
      </c>
      <c r="AB13" s="129">
        <f>IF('el. vyplnění'!M36=0,0,1)</f>
        <v>0</v>
      </c>
      <c r="AC13" s="129">
        <f>IF('el. vyplnění'!C35="",IF('el. vyplnění'!E35="",0,1),1)</f>
        <v>0</v>
      </c>
      <c r="AD13" s="129">
        <f t="shared" ref="AD13:AD20" si="0">Z13*AA13*$AB$13*$AC$13</f>
        <v>0</v>
      </c>
      <c r="AE13" s="129"/>
    </row>
    <row r="14" spans="1:31" ht="15" x14ac:dyDescent="0.25">
      <c r="A14" s="179" t="s">
        <v>49</v>
      </c>
      <c r="B14" s="179"/>
      <c r="C14" s="165"/>
      <c r="D14" s="179" t="s">
        <v>89</v>
      </c>
      <c r="E14" s="179"/>
      <c r="F14" s="165"/>
      <c r="G14" s="165"/>
      <c r="H14" s="165"/>
      <c r="I14" s="165"/>
      <c r="J14" s="114"/>
      <c r="K14" s="114"/>
      <c r="L14" s="114"/>
      <c r="M14" s="114"/>
      <c r="W14" s="129"/>
      <c r="X14" s="130">
        <f>Z29+AA29*AD14+'el. vyplnění'!L42+'el. vyplnění'!J42</f>
        <v>0</v>
      </c>
      <c r="Y14" s="129"/>
      <c r="Z14" s="129">
        <f>IF('el. vyplnění'!C42="",0,1)</f>
        <v>0</v>
      </c>
      <c r="AA14" s="129">
        <f>IF('el. vyplnění'!K42="",0,1)</f>
        <v>0</v>
      </c>
      <c r="AB14" s="129"/>
      <c r="AC14" s="129"/>
      <c r="AD14" s="129">
        <f t="shared" si="0"/>
        <v>0</v>
      </c>
      <c r="AE14" s="129"/>
    </row>
    <row r="15" spans="1:31" ht="15" x14ac:dyDescent="0.25">
      <c r="A15" s="170" t="s">
        <v>97</v>
      </c>
      <c r="B15" s="170" t="s">
        <v>53</v>
      </c>
      <c r="C15" s="171"/>
      <c r="D15" s="170" t="s">
        <v>97</v>
      </c>
      <c r="E15" s="170" t="s">
        <v>53</v>
      </c>
      <c r="F15" s="165"/>
      <c r="G15" s="165"/>
      <c r="H15" s="165"/>
      <c r="I15" s="165"/>
      <c r="J15" s="114"/>
      <c r="K15" s="114"/>
      <c r="L15" s="114"/>
      <c r="M15" s="114"/>
      <c r="W15" s="129"/>
      <c r="X15" s="130">
        <f>Z31+AA31*AD15+'el. vyplnění'!L44+'el. vyplnění'!J44</f>
        <v>0</v>
      </c>
      <c r="Y15" s="129"/>
      <c r="Z15" s="129">
        <f>IF('el. vyplnění'!C44="",0,1)</f>
        <v>0</v>
      </c>
      <c r="AA15" s="129">
        <f>IF('el. vyplnění'!K44="",0,1)</f>
        <v>0</v>
      </c>
      <c r="AB15" s="129"/>
      <c r="AC15" s="129"/>
      <c r="AD15" s="129">
        <f t="shared" si="0"/>
        <v>0</v>
      </c>
      <c r="AE15" s="129"/>
    </row>
    <row r="16" spans="1:31" ht="20.25" customHeight="1" x14ac:dyDescent="0.25">
      <c r="A16" s="172">
        <v>2016</v>
      </c>
      <c r="B16" s="173">
        <v>29.5</v>
      </c>
      <c r="C16" s="165"/>
      <c r="D16" s="172">
        <v>2016</v>
      </c>
      <c r="E16" s="173">
        <v>29.7</v>
      </c>
      <c r="F16" s="165"/>
      <c r="G16" s="165"/>
      <c r="H16" s="165"/>
      <c r="I16" s="165"/>
      <c r="J16" s="178" t="s">
        <v>109</v>
      </c>
      <c r="K16" s="178"/>
      <c r="L16" s="178"/>
      <c r="M16" s="178"/>
      <c r="W16" s="129"/>
      <c r="X16" s="130">
        <f>Z33+AA33*AD16+'el. vyplnění'!L46+'el. vyplnění'!J46</f>
        <v>0</v>
      </c>
      <c r="Y16" s="129"/>
      <c r="Z16" s="129">
        <f>IF('el. vyplnění'!C46="",0,1)</f>
        <v>0</v>
      </c>
      <c r="AA16" s="129">
        <f>IF('el. vyplnění'!K46="",0,1)</f>
        <v>0</v>
      </c>
      <c r="AB16" s="129"/>
      <c r="AC16" s="129"/>
      <c r="AD16" s="129">
        <f t="shared" si="0"/>
        <v>0</v>
      </c>
      <c r="AE16" s="129"/>
    </row>
    <row r="17" spans="1:31" ht="15" x14ac:dyDescent="0.25">
      <c r="A17" s="172">
        <v>2017</v>
      </c>
      <c r="B17" s="173">
        <v>28.6</v>
      </c>
      <c r="C17" s="165"/>
      <c r="D17" s="172">
        <v>2017</v>
      </c>
      <c r="E17" s="173">
        <v>29.5</v>
      </c>
      <c r="F17" s="165"/>
      <c r="G17" s="165"/>
      <c r="H17" s="165"/>
      <c r="I17" s="165"/>
      <c r="J17" s="178"/>
      <c r="K17" s="178"/>
      <c r="L17" s="178"/>
      <c r="M17" s="178"/>
      <c r="W17" s="129"/>
      <c r="X17" s="130">
        <f>Z35+AA35*AD17+'el. vyplnění'!L48+'el. vyplnění'!J48</f>
        <v>0</v>
      </c>
      <c r="Y17" s="129"/>
      <c r="Z17" s="129">
        <f>IF('el. vyplnění'!C48="",0,1)</f>
        <v>0</v>
      </c>
      <c r="AA17" s="129">
        <f>IF('el. vyplnění'!K48="",0,1)</f>
        <v>0</v>
      </c>
      <c r="AB17" s="129"/>
      <c r="AC17" s="129"/>
      <c r="AD17" s="129">
        <f t="shared" si="0"/>
        <v>0</v>
      </c>
      <c r="AE17" s="129"/>
    </row>
    <row r="18" spans="1:31" ht="15" x14ac:dyDescent="0.25">
      <c r="A18" s="172">
        <v>2018</v>
      </c>
      <c r="B18" s="173">
        <v>29.8</v>
      </c>
      <c r="C18" s="165"/>
      <c r="D18" s="172">
        <v>2018</v>
      </c>
      <c r="E18" s="173">
        <v>30.5</v>
      </c>
      <c r="F18" s="165"/>
      <c r="G18" s="165"/>
      <c r="H18" s="165"/>
      <c r="I18" s="165"/>
      <c r="J18" s="178" t="s">
        <v>112</v>
      </c>
      <c r="K18" s="178"/>
      <c r="L18" s="178"/>
      <c r="M18" s="178"/>
      <c r="W18" s="129"/>
      <c r="X18" s="130">
        <f>Z37+AA37*AD18+'el. vyplnění'!L50+'el. vyplnění'!J50</f>
        <v>0</v>
      </c>
      <c r="Y18" s="129"/>
      <c r="Z18" s="129">
        <f>IF('el. vyplnění'!C50="",0,1)</f>
        <v>0</v>
      </c>
      <c r="AA18" s="129">
        <f>IF('el. vyplnění'!K50="",0,1)</f>
        <v>0</v>
      </c>
      <c r="AB18" s="129"/>
      <c r="AC18" s="129"/>
      <c r="AD18" s="129">
        <f t="shared" si="0"/>
        <v>0</v>
      </c>
      <c r="AE18" s="129"/>
    </row>
    <row r="19" spans="1:31" ht="15" x14ac:dyDescent="0.25">
      <c r="A19" s="172">
        <v>2019</v>
      </c>
      <c r="B19" s="173">
        <v>33.6</v>
      </c>
      <c r="C19" s="165"/>
      <c r="D19" s="172">
        <v>2019</v>
      </c>
      <c r="E19" s="173">
        <v>33.1</v>
      </c>
      <c r="F19" s="165"/>
      <c r="G19" s="165"/>
      <c r="H19" s="165"/>
      <c r="I19" s="165"/>
      <c r="J19" s="178"/>
      <c r="K19" s="178"/>
      <c r="L19" s="178"/>
      <c r="M19" s="178"/>
      <c r="W19" s="129"/>
      <c r="X19" s="130">
        <f>Z39+AA39*AD19+'el. vyplnění'!L52+'el. vyplnění'!J52</f>
        <v>0</v>
      </c>
      <c r="Y19" s="129"/>
      <c r="Z19" s="129">
        <f>IF('el. vyplnění'!C52="",0,1)</f>
        <v>0</v>
      </c>
      <c r="AA19" s="129">
        <f>IF('el. vyplnění'!K52="",0,1)</f>
        <v>0</v>
      </c>
      <c r="AB19" s="129"/>
      <c r="AC19" s="129"/>
      <c r="AD19" s="129">
        <f t="shared" si="0"/>
        <v>0</v>
      </c>
      <c r="AE19" s="129"/>
    </row>
    <row r="20" spans="1:31" ht="15" x14ac:dyDescent="0.25">
      <c r="A20" s="172">
        <v>2020</v>
      </c>
      <c r="B20" s="173">
        <v>31.8</v>
      </c>
      <c r="C20" s="165"/>
      <c r="D20" s="172">
        <v>2020</v>
      </c>
      <c r="E20" s="173">
        <v>32</v>
      </c>
      <c r="F20" s="165"/>
      <c r="G20" s="165"/>
      <c r="H20" s="168"/>
      <c r="I20" s="165"/>
      <c r="J20" s="178"/>
      <c r="K20" s="178"/>
      <c r="L20" s="178"/>
      <c r="M20" s="178"/>
      <c r="W20" s="129"/>
      <c r="X20" s="130">
        <f>Z41+AA41*AD20+'el. vyplnění'!L54+'el. vyplnění'!J54</f>
        <v>0</v>
      </c>
      <c r="Y20" s="129"/>
      <c r="Z20" s="129">
        <f>IF('el. vyplnění'!C54="",0,1)</f>
        <v>0</v>
      </c>
      <c r="AA20" s="129">
        <f>IF('el. vyplnění'!K54="",0,1)</f>
        <v>0</v>
      </c>
      <c r="AB20" s="129"/>
      <c r="AC20" s="129"/>
      <c r="AD20" s="129">
        <f t="shared" si="0"/>
        <v>0</v>
      </c>
      <c r="AE20" s="129"/>
    </row>
    <row r="21" spans="1:31" ht="15" x14ac:dyDescent="0.25">
      <c r="A21" s="172">
        <v>2021</v>
      </c>
      <c r="B21" s="173">
        <v>27.2</v>
      </c>
      <c r="C21" s="165"/>
      <c r="D21" s="172">
        <v>2021</v>
      </c>
      <c r="E21" s="173">
        <v>27.8</v>
      </c>
      <c r="F21" s="165"/>
      <c r="G21" s="165"/>
      <c r="H21" s="168"/>
      <c r="I21" s="165"/>
      <c r="J21" s="178"/>
      <c r="K21" s="178"/>
      <c r="L21" s="178"/>
      <c r="M21" s="178"/>
      <c r="W21" s="129"/>
      <c r="X21" s="131">
        <f>SUM(X13:X20)</f>
        <v>0</v>
      </c>
      <c r="Y21" s="129"/>
      <c r="Z21" s="129"/>
      <c r="AA21" s="129"/>
      <c r="AB21" s="129"/>
      <c r="AC21" s="129"/>
      <c r="AD21" s="129"/>
      <c r="AE21" s="129"/>
    </row>
    <row r="22" spans="1:31" ht="15" x14ac:dyDescent="0.25">
      <c r="A22" s="172">
        <v>2022</v>
      </c>
      <c r="B22" s="173">
        <v>47.1</v>
      </c>
      <c r="C22" s="165"/>
      <c r="D22" s="172">
        <v>2022</v>
      </c>
      <c r="E22" s="173">
        <v>44.5</v>
      </c>
      <c r="F22" s="165"/>
      <c r="G22" s="165"/>
      <c r="H22" s="165"/>
      <c r="I22" s="168"/>
      <c r="J22" s="178"/>
      <c r="K22" s="178"/>
      <c r="L22" s="178"/>
      <c r="M22" s="178"/>
      <c r="W22" s="129"/>
      <c r="X22" s="130"/>
      <c r="Y22" s="129"/>
      <c r="Z22" s="129"/>
      <c r="AA22" s="129"/>
      <c r="AB22" s="129"/>
      <c r="AC22" s="129"/>
      <c r="AD22" s="129"/>
      <c r="AE22" s="129"/>
    </row>
    <row r="23" spans="1:31" ht="15" x14ac:dyDescent="0.25">
      <c r="A23" s="172">
        <v>2023</v>
      </c>
      <c r="B23" s="173">
        <v>34.4</v>
      </c>
      <c r="C23" s="165"/>
      <c r="D23" s="172">
        <v>2023</v>
      </c>
      <c r="E23" s="173">
        <v>41.2</v>
      </c>
      <c r="F23" s="165"/>
      <c r="G23" s="165"/>
      <c r="H23" s="165"/>
      <c r="I23" s="168"/>
      <c r="J23" s="114"/>
      <c r="K23" s="114"/>
      <c r="L23" s="114"/>
      <c r="M23" s="114"/>
      <c r="W23" s="129" t="s">
        <v>80</v>
      </c>
      <c r="X23" s="130">
        <f>SUM('el. vyplnění'!M40:M55)</f>
        <v>0</v>
      </c>
      <c r="Y23" s="129"/>
      <c r="Z23" s="129"/>
      <c r="AA23" s="129"/>
      <c r="AB23" s="129"/>
      <c r="AC23" s="129"/>
      <c r="AD23" s="129"/>
      <c r="AE23" s="129"/>
    </row>
    <row r="24" spans="1:31" ht="15" x14ac:dyDescent="0.25">
      <c r="A24" s="172">
        <v>2024</v>
      </c>
      <c r="B24" s="173">
        <v>38.700000000000003</v>
      </c>
      <c r="C24" s="165"/>
      <c r="D24" s="172">
        <v>2024</v>
      </c>
      <c r="E24" s="173">
        <v>38.200000000000003</v>
      </c>
      <c r="F24" s="165"/>
      <c r="G24" s="165"/>
      <c r="H24" s="165"/>
      <c r="I24" s="168"/>
      <c r="J24" s="114"/>
      <c r="K24" s="114"/>
      <c r="L24" s="114"/>
      <c r="M24" s="114"/>
      <c r="W24" s="129"/>
      <c r="X24" s="130"/>
      <c r="Y24" s="129"/>
      <c r="Z24" s="129"/>
      <c r="AA24" s="129"/>
      <c r="AB24" s="129"/>
      <c r="AC24" s="129"/>
      <c r="AD24" s="129"/>
      <c r="AE24" s="129"/>
    </row>
    <row r="25" spans="1:31" ht="15.6" thickBot="1" x14ac:dyDescent="0.3">
      <c r="A25" s="172">
        <v>2025</v>
      </c>
      <c r="B25" s="173"/>
      <c r="C25" s="165"/>
      <c r="D25" s="172">
        <v>2025</v>
      </c>
      <c r="E25" s="173"/>
      <c r="F25" s="165"/>
      <c r="G25" s="165"/>
      <c r="H25" s="165"/>
      <c r="I25" s="168"/>
      <c r="J25" s="114"/>
      <c r="K25" s="114"/>
      <c r="L25" s="114"/>
      <c r="M25" s="114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ht="15.6" thickBot="1" x14ac:dyDescent="0.3">
      <c r="A26" s="172">
        <v>2026</v>
      </c>
      <c r="B26" s="173"/>
      <c r="C26" s="165"/>
      <c r="D26" s="172">
        <v>2026</v>
      </c>
      <c r="E26" s="173"/>
      <c r="F26" s="165"/>
      <c r="G26" s="165"/>
      <c r="H26" s="165"/>
      <c r="I26" s="168"/>
      <c r="J26" s="114"/>
      <c r="K26" s="114"/>
      <c r="L26" s="114"/>
      <c r="M26" s="114"/>
      <c r="W26" s="129"/>
      <c r="X26" s="132" t="s">
        <v>27</v>
      </c>
      <c r="Y26" s="133" t="s">
        <v>28</v>
      </c>
      <c r="Z26" s="134" t="s">
        <v>36</v>
      </c>
      <c r="AA26" s="135" t="s">
        <v>37</v>
      </c>
      <c r="AB26" s="129"/>
      <c r="AC26" s="129"/>
      <c r="AD26" s="129"/>
      <c r="AE26" s="129"/>
    </row>
    <row r="27" spans="1:31" ht="15" x14ac:dyDescent="0.25">
      <c r="A27" s="172">
        <v>2027</v>
      </c>
      <c r="B27" s="173"/>
      <c r="C27" s="165"/>
      <c r="D27" s="172">
        <v>2027</v>
      </c>
      <c r="E27" s="173"/>
      <c r="F27" s="165"/>
      <c r="G27" s="165"/>
      <c r="H27" s="165"/>
      <c r="I27" s="168"/>
      <c r="J27" s="114"/>
      <c r="K27" s="114"/>
      <c r="L27" s="114"/>
      <c r="M27" s="114"/>
      <c r="W27" s="129"/>
      <c r="X27" s="136"/>
      <c r="Y27" s="137">
        <f>IF('el. vyplnění'!D18="ano",'el. vyplnění'!K40,0)</f>
        <v>0</v>
      </c>
      <c r="Z27" s="138">
        <f>'el. vyplnění'!I40</f>
        <v>0</v>
      </c>
      <c r="AA27" s="139">
        <f>IF('el. vyplnění'!G38="",0,IF('el. vyplnění'!G40="",0,ROUND('el. vyplnění'!G40*(Y27+IF('el. vyplnění'!H40="ano",X7+W10,X7)),2)))</f>
        <v>0</v>
      </c>
      <c r="AB27" s="129"/>
      <c r="AC27" s="129"/>
      <c r="AD27" s="129"/>
      <c r="AE27" s="129"/>
    </row>
    <row r="28" spans="1:31" ht="15" x14ac:dyDescent="0.25">
      <c r="A28" s="172">
        <v>2028</v>
      </c>
      <c r="B28" s="173"/>
      <c r="C28" s="165"/>
      <c r="D28" s="172">
        <v>2028</v>
      </c>
      <c r="E28" s="173"/>
      <c r="F28" s="165"/>
      <c r="G28" s="165"/>
      <c r="H28" s="165"/>
      <c r="I28" s="168"/>
      <c r="J28" s="114"/>
      <c r="K28" s="114"/>
      <c r="L28" s="114"/>
      <c r="M28" s="114"/>
      <c r="W28" s="129"/>
      <c r="X28" s="136" t="str">
        <f>IF('el. vyplnění'!K40=1,amos1,IF('el. vyplnění'!K40=2,amos2,IF('el. vyplnění'!K40=3,amos3,IF('el. vyplnění'!K40&gt;=3,amos3,""))))</f>
        <v/>
      </c>
      <c r="Y28" s="140"/>
      <c r="Z28" s="129"/>
      <c r="AA28" s="141"/>
      <c r="AB28" s="129"/>
      <c r="AC28" s="129"/>
      <c r="AD28" s="129"/>
      <c r="AE28" s="129"/>
    </row>
    <row r="29" spans="1:31" ht="15" x14ac:dyDescent="0.25">
      <c r="A29" s="172">
        <v>2029</v>
      </c>
      <c r="B29" s="173"/>
      <c r="C29" s="165"/>
      <c r="D29" s="172">
        <v>2029</v>
      </c>
      <c r="E29" s="173"/>
      <c r="F29" s="165"/>
      <c r="G29" s="165"/>
      <c r="H29" s="165"/>
      <c r="I29" s="168"/>
      <c r="J29" s="114"/>
      <c r="K29" s="114"/>
      <c r="L29" s="114"/>
      <c r="M29" s="114"/>
      <c r="W29" s="129"/>
      <c r="X29" s="136"/>
      <c r="Y29" s="140">
        <f>IF('el. vyplnění'!D18="ano",'el. vyplnění'!K42,0)</f>
        <v>0</v>
      </c>
      <c r="Z29" s="130">
        <f>'el. vyplnění'!I42</f>
        <v>0</v>
      </c>
      <c r="AA29" s="141">
        <f>IF('el. vyplnění'!G38="",0,IF('el. vyplnění'!G42="",0,ROUND('el. vyplnění'!G42*(Y29+IF('el. vyplnění'!H42="ano",X7+W10,X7)),2)))</f>
        <v>0</v>
      </c>
      <c r="AB29" s="129"/>
      <c r="AC29" s="129"/>
      <c r="AD29" s="129"/>
      <c r="AE29" s="129"/>
    </row>
    <row r="30" spans="1:31" ht="15" x14ac:dyDescent="0.25">
      <c r="A30" s="172">
        <v>2030</v>
      </c>
      <c r="B30" s="173"/>
      <c r="C30" s="165"/>
      <c r="D30" s="172">
        <v>2030</v>
      </c>
      <c r="E30" s="173"/>
      <c r="F30" s="165"/>
      <c r="G30" s="165"/>
      <c r="H30" s="165"/>
      <c r="I30" s="168"/>
      <c r="J30" s="114"/>
      <c r="K30" s="114"/>
      <c r="L30" s="114"/>
      <c r="M30" s="114"/>
      <c r="W30" s="129"/>
      <c r="X30" s="136" t="str">
        <f>IF('el. vyplnění'!K42=1,amos1,IF('el. vyplnění'!K42=2,amos2,IF('el. vyplnění'!K42=3,amos3,IF('el. vyplnění'!K42&gt;=3,amos3,""))))</f>
        <v/>
      </c>
      <c r="Y30" s="140"/>
      <c r="Z30" s="129"/>
      <c r="AA30" s="141"/>
      <c r="AB30" s="129"/>
      <c r="AC30" s="129"/>
      <c r="AD30" s="129"/>
      <c r="AE30" s="129"/>
    </row>
    <row r="31" spans="1:31" ht="15" x14ac:dyDescent="0.25">
      <c r="A31" s="172">
        <v>2031</v>
      </c>
      <c r="B31" s="173"/>
      <c r="C31" s="165"/>
      <c r="D31" s="172">
        <v>2031</v>
      </c>
      <c r="E31" s="173"/>
      <c r="F31" s="165"/>
      <c r="G31" s="165"/>
      <c r="H31" s="165"/>
      <c r="I31" s="168"/>
      <c r="J31" s="174"/>
      <c r="K31" s="174"/>
      <c r="L31" s="174"/>
      <c r="M31" s="114"/>
      <c r="W31" s="129"/>
      <c r="X31" s="136"/>
      <c r="Y31" s="140">
        <f>IF('el. vyplnění'!D18="ano",'el. vyplnění'!K44,0)</f>
        <v>0</v>
      </c>
      <c r="Z31" s="130">
        <f>'el. vyplnění'!I44</f>
        <v>0</v>
      </c>
      <c r="AA31" s="141">
        <f>IF('el. vyplnění'!G38="",0,IF('el. vyplnění'!G44="",0,ROUND('el. vyplnění'!G44*(Y31+IF('el. vyplnění'!H44="ano",X7+W10,X7)),2)))</f>
        <v>0</v>
      </c>
      <c r="AB31" s="129"/>
      <c r="AC31" s="129"/>
      <c r="AD31" s="129"/>
      <c r="AE31" s="129"/>
    </row>
    <row r="32" spans="1:31" ht="15" x14ac:dyDescent="0.25">
      <c r="A32" s="172">
        <v>2032</v>
      </c>
      <c r="B32" s="173"/>
      <c r="C32" s="165"/>
      <c r="D32" s="172">
        <v>2032</v>
      </c>
      <c r="E32" s="173"/>
      <c r="F32" s="165"/>
      <c r="G32" s="165"/>
      <c r="H32" s="165"/>
      <c r="I32" s="165"/>
      <c r="J32" s="114"/>
      <c r="K32" s="114"/>
      <c r="L32" s="114"/>
      <c r="M32" s="114"/>
      <c r="W32" s="129"/>
      <c r="X32" s="136" t="str">
        <f>IF('el. vyplnění'!K44=1,amos1,IF('el. vyplnění'!K44=2,amos2,IF('el. vyplnění'!K44=3,amos3,IF('el. vyplnění'!K44&gt;=3,amos3,""))))</f>
        <v/>
      </c>
      <c r="Y32" s="140"/>
      <c r="Z32" s="129"/>
      <c r="AA32" s="141"/>
      <c r="AB32" s="129"/>
      <c r="AC32" s="129"/>
      <c r="AD32" s="129"/>
      <c r="AE32" s="129"/>
    </row>
    <row r="33" spans="1:31" ht="15" x14ac:dyDescent="0.25">
      <c r="A33" s="165"/>
      <c r="B33" s="165"/>
      <c r="C33" s="165"/>
      <c r="D33" s="165"/>
      <c r="E33" s="165"/>
      <c r="F33" s="165"/>
      <c r="G33" s="165"/>
      <c r="H33" s="165"/>
      <c r="I33" s="165"/>
      <c r="W33" s="129"/>
      <c r="X33" s="136"/>
      <c r="Y33" s="140">
        <f>IF('el. vyplnění'!D18="ano",'el. vyplnění'!K46,0)</f>
        <v>0</v>
      </c>
      <c r="Z33" s="130">
        <f>'el. vyplnění'!I46</f>
        <v>0</v>
      </c>
      <c r="AA33" s="141">
        <f>IF('el. vyplnění'!G38="",0,IF('el. vyplnění'!G46="",0,ROUND('el. vyplnění'!G46*(Y33+IF('el. vyplnění'!H46="ano",X7+W10,X7)),2)))</f>
        <v>0</v>
      </c>
      <c r="AB33" s="129"/>
      <c r="AC33" s="129"/>
      <c r="AD33" s="129"/>
      <c r="AE33" s="129"/>
    </row>
    <row r="34" spans="1:31" ht="20.399999999999999" x14ac:dyDescent="0.35">
      <c r="A34" s="145"/>
      <c r="B34" s="145"/>
      <c r="C34" s="145"/>
      <c r="D34" s="145"/>
      <c r="E34" s="145"/>
      <c r="F34" s="145"/>
      <c r="G34" s="145"/>
      <c r="H34" s="145"/>
      <c r="I34" s="145"/>
      <c r="W34" s="129"/>
      <c r="X34" s="136" t="str">
        <f>IF('el. vyplnění'!K46=1,amos1,IF('el. vyplnění'!K46=2,amos2,IF('el. vyplnění'!K46=3,amos3,IF('el. vyplnění'!K46&gt;=3,amos3,""))))</f>
        <v/>
      </c>
      <c r="Y34" s="140"/>
      <c r="Z34" s="129"/>
      <c r="AA34" s="141"/>
      <c r="AB34" s="129"/>
      <c r="AC34" s="129"/>
      <c r="AD34" s="129"/>
      <c r="AE34" s="129"/>
    </row>
    <row r="35" spans="1:31" ht="20.399999999999999" x14ac:dyDescent="0.35">
      <c r="A35" s="145"/>
      <c r="B35" s="145"/>
      <c r="C35" s="145"/>
      <c r="D35" s="145"/>
      <c r="E35" s="145"/>
      <c r="F35" s="145"/>
      <c r="G35" s="145"/>
      <c r="H35" s="145"/>
      <c r="I35" s="145"/>
      <c r="W35" s="129"/>
      <c r="X35" s="136"/>
      <c r="Y35" s="140">
        <f>IF('el. vyplnění'!D18="ano",'el. vyplnění'!K48,0)</f>
        <v>0</v>
      </c>
      <c r="Z35" s="130">
        <f>'el. vyplnění'!I48</f>
        <v>0</v>
      </c>
      <c r="AA35" s="141">
        <f>IF('el. vyplnění'!G38="",0,IF('el. vyplnění'!G48="",0,ROUND('el. vyplnění'!G48*(Y35+IF('el. vyplnění'!H48="ano",X7+W10,X7)),2)))</f>
        <v>0</v>
      </c>
      <c r="AB35" s="129"/>
      <c r="AC35" s="129"/>
      <c r="AD35" s="129"/>
      <c r="AE35" s="129"/>
    </row>
    <row r="36" spans="1:31" ht="20.399999999999999" x14ac:dyDescent="0.35">
      <c r="A36" s="145"/>
      <c r="B36" s="145"/>
      <c r="C36" s="145"/>
      <c r="D36" s="145"/>
      <c r="E36" s="145"/>
      <c r="F36" s="145"/>
      <c r="G36" s="145"/>
      <c r="H36" s="145"/>
      <c r="I36" s="145"/>
      <c r="W36" s="129"/>
      <c r="X36" s="136" t="str">
        <f>IF('el. vyplnění'!K48=1,amos1,IF('el. vyplnění'!K48=2,amos2,IF('el. vyplnění'!K48=3,amos3,IF('el. vyplnění'!K48&gt;=3,amos3,""))))</f>
        <v/>
      </c>
      <c r="Y36" s="140"/>
      <c r="Z36" s="129"/>
      <c r="AA36" s="141"/>
      <c r="AB36" s="129"/>
      <c r="AC36" s="129"/>
      <c r="AD36" s="129"/>
      <c r="AE36" s="129"/>
    </row>
    <row r="37" spans="1:31" ht="20.399999999999999" x14ac:dyDescent="0.35">
      <c r="A37" s="145"/>
      <c r="B37" s="145"/>
      <c r="C37" s="145"/>
      <c r="D37" s="145"/>
      <c r="E37" s="145"/>
      <c r="F37" s="145"/>
      <c r="G37" s="145"/>
      <c r="H37" s="145"/>
      <c r="I37" s="145"/>
      <c r="W37" s="129"/>
      <c r="X37" s="136"/>
      <c r="Y37" s="140">
        <f>IF('el. vyplnění'!D18="ano",'el. vyplnění'!K50,0)</f>
        <v>0</v>
      </c>
      <c r="Z37" s="130">
        <f>'el. vyplnění'!I50</f>
        <v>0</v>
      </c>
      <c r="AA37" s="141">
        <f>IF('el. vyplnění'!G38="",0,IF('el. vyplnění'!G50="",0,ROUND('el. vyplnění'!G50*(Y37+IF('el. vyplnění'!H50="ano",X7+W10,X7)),2)))</f>
        <v>0</v>
      </c>
      <c r="AB37" s="129"/>
      <c r="AC37" s="129"/>
      <c r="AD37" s="129"/>
      <c r="AE37" s="129"/>
    </row>
    <row r="38" spans="1:31" ht="20.399999999999999" x14ac:dyDescent="0.35">
      <c r="A38" s="145"/>
      <c r="B38" s="145"/>
      <c r="C38" s="145"/>
      <c r="D38" s="145"/>
      <c r="E38" s="145"/>
      <c r="F38" s="145"/>
      <c r="G38" s="145"/>
      <c r="H38" s="145"/>
      <c r="I38" s="145"/>
      <c r="W38" s="129"/>
      <c r="X38" s="136" t="str">
        <f>IF('el. vyplnění'!K50=1,amos1,IF('el. vyplnění'!K50=2,amos2,IF('el. vyplnění'!K50=3,3.5,IF('el. vyplnění'!K50&gt;=3,3.5,""))))</f>
        <v/>
      </c>
      <c r="Y38" s="140"/>
      <c r="Z38" s="129"/>
      <c r="AA38" s="141"/>
      <c r="AB38" s="129"/>
      <c r="AC38" s="129"/>
      <c r="AD38" s="129"/>
      <c r="AE38" s="129"/>
    </row>
    <row r="39" spans="1:31" ht="20.399999999999999" x14ac:dyDescent="0.35">
      <c r="A39" s="145"/>
      <c r="B39" s="145"/>
      <c r="C39" s="145"/>
      <c r="D39" s="145"/>
      <c r="E39" s="145"/>
      <c r="F39" s="145"/>
      <c r="G39" s="145"/>
      <c r="H39" s="145"/>
      <c r="I39" s="145"/>
      <c r="W39" s="129"/>
      <c r="X39" s="136"/>
      <c r="Y39" s="140">
        <f>IF('el. vyplnění'!D18="ano",'el. vyplnění'!K52,0)</f>
        <v>0</v>
      </c>
      <c r="Z39" s="130">
        <f>'el. vyplnění'!I52</f>
        <v>0</v>
      </c>
      <c r="AA39" s="141">
        <f>IF('el. vyplnění'!G38="",0,IF('el. vyplnění'!G52="",0,ROUND('el. vyplnění'!G52*(Y39+IF('el. vyplnění'!H52="ano",X7+W10,X7)),2)))</f>
        <v>0</v>
      </c>
      <c r="AB39" s="129"/>
      <c r="AC39" s="129"/>
      <c r="AD39" s="129"/>
      <c r="AE39" s="129"/>
    </row>
    <row r="40" spans="1:31" ht="20.399999999999999" x14ac:dyDescent="0.35">
      <c r="A40" s="145"/>
      <c r="B40" s="145"/>
      <c r="C40" s="145"/>
      <c r="D40" s="145"/>
      <c r="E40" s="145"/>
      <c r="F40" s="145"/>
      <c r="G40" s="145"/>
      <c r="H40" s="145"/>
      <c r="I40" s="145"/>
      <c r="W40" s="129"/>
      <c r="X40" s="136" t="str">
        <f>IF('el. vyplnění'!K52=1,amos1,IF('el. vyplnění'!K52=2,amos2,IF('el. vyplnění'!K52=3,amos3,IF('el. vyplnění'!K52&gt;=3,amos3,""))))</f>
        <v/>
      </c>
      <c r="Y40" s="140"/>
      <c r="Z40" s="129"/>
      <c r="AA40" s="141"/>
      <c r="AB40" s="129"/>
      <c r="AC40" s="129"/>
      <c r="AD40" s="129"/>
      <c r="AE40" s="129"/>
    </row>
    <row r="41" spans="1:31" x14ac:dyDescent="0.25">
      <c r="W41" s="129"/>
      <c r="X41" s="136"/>
      <c r="Y41" s="140">
        <f>IF('el. vyplnění'!D18="ano",'el. vyplnění'!K54,0)</f>
        <v>0</v>
      </c>
      <c r="Z41" s="130">
        <f>'el. vyplnění'!I54</f>
        <v>0</v>
      </c>
      <c r="AA41" s="141">
        <f>IF('el. vyplnění'!G38="",0,IF('el. vyplnění'!G54="",0,ROUND('el. vyplnění'!G54*(Y41+IF('el. vyplnění'!H54="ano",X7+W10,X7)),2)))</f>
        <v>0</v>
      </c>
      <c r="AB41" s="129"/>
      <c r="AC41" s="129"/>
      <c r="AD41" s="129"/>
      <c r="AE41" s="129"/>
    </row>
    <row r="42" spans="1:31" x14ac:dyDescent="0.25">
      <c r="W42" s="129"/>
      <c r="X42" s="136" t="str">
        <f>IF('el. vyplnění'!K54=1,amos1,IF('el. vyplnění'!K54=2,amos2,IF('el. vyplnění'!K54=3,amos3,IF('el. vyplnění'!K54&gt;=3,amos3,""))))</f>
        <v/>
      </c>
      <c r="Y42" s="140"/>
      <c r="Z42" s="129"/>
      <c r="AA42" s="141"/>
      <c r="AB42" s="129"/>
      <c r="AC42" s="129"/>
      <c r="AD42" s="129"/>
      <c r="AE42" s="129"/>
    </row>
    <row r="43" spans="1:31" ht="13.8" thickBot="1" x14ac:dyDescent="0.3">
      <c r="W43" s="129"/>
      <c r="X43" s="142"/>
      <c r="Y43" s="143"/>
      <c r="Z43" s="142"/>
      <c r="AA43" s="144"/>
      <c r="AB43" s="129"/>
      <c r="AC43" s="129"/>
      <c r="AD43" s="129"/>
      <c r="AE43" s="129"/>
    </row>
    <row r="44" spans="1:31" x14ac:dyDescent="0.25">
      <c r="W44" s="129"/>
      <c r="X44" s="129"/>
      <c r="Y44" s="129"/>
      <c r="Z44" s="129"/>
      <c r="AA44" s="129"/>
      <c r="AB44" s="129"/>
      <c r="AC44" s="129"/>
      <c r="AD44" s="129"/>
      <c r="AE44" s="129"/>
    </row>
    <row r="45" spans="1:31" x14ac:dyDescent="0.25">
      <c r="C45" s="85"/>
      <c r="W45" s="129"/>
      <c r="X45" s="129"/>
      <c r="Y45" s="129"/>
      <c r="Z45" s="129"/>
      <c r="AA45" s="129"/>
      <c r="AB45" s="129"/>
      <c r="AC45" s="129"/>
      <c r="AD45" s="129"/>
      <c r="AE45" s="129"/>
    </row>
    <row r="46" spans="1:31" x14ac:dyDescent="0.25"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1:31" x14ac:dyDescent="0.25"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31" x14ac:dyDescent="0.25"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</sheetData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76"/>
  <sheetViews>
    <sheetView zoomScale="85" zoomScaleNormal="85" workbookViewId="0">
      <selection activeCell="I13" sqref="I13"/>
    </sheetView>
  </sheetViews>
  <sheetFormatPr defaultRowHeight="13.2" x14ac:dyDescent="0.25"/>
  <cols>
    <col min="1" max="1" width="8.5546875" customWidth="1"/>
    <col min="2" max="2" width="9.44140625" customWidth="1"/>
    <col min="3" max="3" width="10.44140625" customWidth="1"/>
    <col min="4" max="4" width="11.44140625" customWidth="1"/>
    <col min="5" max="5" width="10" customWidth="1"/>
    <col min="6" max="6" width="11.44140625" customWidth="1"/>
    <col min="7" max="7" width="9.5546875" customWidth="1"/>
    <col min="8" max="8" width="5.5546875" bestFit="1" customWidth="1"/>
    <col min="9" max="9" width="12.109375" customWidth="1"/>
    <col min="10" max="10" width="11.5546875" customWidth="1"/>
    <col min="11" max="11" width="12.44140625" customWidth="1"/>
    <col min="12" max="12" width="11.109375" customWidth="1"/>
    <col min="13" max="13" width="16" customWidth="1"/>
    <col min="14" max="14" width="4.44140625" customWidth="1"/>
    <col min="15" max="15" width="54.5546875" customWidth="1"/>
    <col min="16" max="16" width="11" customWidth="1"/>
    <col min="17" max="21" width="9.109375" customWidth="1"/>
    <col min="22" max="22" width="12" customWidth="1"/>
    <col min="23" max="23" width="9.109375" customWidth="1"/>
    <col min="24" max="24" width="12.109375" customWidth="1"/>
    <col min="25" max="26" width="9.109375" customWidth="1"/>
    <col min="27" max="27" width="10.109375" customWidth="1"/>
    <col min="28" max="33" width="9.109375" customWidth="1"/>
    <col min="34" max="34" width="14.109375" customWidth="1"/>
    <col min="35" max="36" width="9.109375" customWidth="1"/>
  </cols>
  <sheetData>
    <row r="1" spans="1:15" ht="87" customHeight="1" x14ac:dyDescent="0.25">
      <c r="A1" s="185" t="s">
        <v>124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33" customHeight="1" x14ac:dyDescent="0.5">
      <c r="C2" s="159" t="s">
        <v>92</v>
      </c>
      <c r="F2" s="154"/>
      <c r="G2" s="1"/>
      <c r="I2" s="1"/>
      <c r="J2" s="1"/>
    </row>
    <row r="3" spans="1:15" ht="12.75" customHeight="1" x14ac:dyDescent="0.25">
      <c r="C3" s="155" t="str">
        <f>IF('data-Vyplní jednotka !'!B4="","",CONCATENATE('data-Vyplní jednotka !'!W2,'data-Vyplní jednotka !'!B4,'data-Vyplní jednotka !'!Y2))</f>
        <v/>
      </c>
      <c r="F3" s="153"/>
      <c r="G3" s="153"/>
      <c r="I3" s="153"/>
      <c r="J3" s="153"/>
    </row>
    <row r="4" spans="1:15" ht="12.75" customHeight="1" x14ac:dyDescent="0.25">
      <c r="C4" s="156" t="str">
        <f>IF('data-Vyplní jednotka !'!B5="","",'data-Vyplní jednotka !'!B5)</f>
        <v/>
      </c>
      <c r="F4" s="126"/>
      <c r="G4" s="126"/>
      <c r="I4" s="126"/>
      <c r="J4" s="126"/>
    </row>
    <row r="5" spans="1:15" ht="16.5" customHeight="1" x14ac:dyDescent="0.4">
      <c r="C5" s="155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5"/>
    <row r="7" spans="1:15" ht="17.25" customHeight="1" x14ac:dyDescent="0.3">
      <c r="A7" s="258" t="s">
        <v>0</v>
      </c>
      <c r="B7" s="258"/>
      <c r="C7" s="258"/>
      <c r="D7" s="199"/>
      <c r="E7" s="199"/>
      <c r="F7" s="199"/>
      <c r="G7" s="199"/>
      <c r="H7" s="199"/>
      <c r="I7" s="199"/>
      <c r="J7" s="199"/>
      <c r="K7" s="120"/>
      <c r="L7" s="4"/>
      <c r="M7" s="5"/>
      <c r="O7" s="110" t="s">
        <v>113</v>
      </c>
    </row>
    <row r="8" spans="1:15" ht="17.25" customHeight="1" x14ac:dyDescent="0.3">
      <c r="A8" s="4"/>
      <c r="B8" s="4"/>
      <c r="C8" s="4"/>
      <c r="D8" s="266" t="s">
        <v>2</v>
      </c>
      <c r="E8" s="266"/>
      <c r="F8" s="266"/>
      <c r="G8" s="3"/>
      <c r="H8" s="3"/>
      <c r="I8" s="3"/>
      <c r="J8" s="3"/>
      <c r="K8" s="3"/>
      <c r="L8" s="3"/>
      <c r="M8" s="3"/>
      <c r="O8" s="111"/>
    </row>
    <row r="9" spans="1:15" ht="17.399999999999999" x14ac:dyDescent="0.3">
      <c r="A9" s="258" t="s">
        <v>1</v>
      </c>
      <c r="B9" s="258"/>
      <c r="C9" s="258"/>
      <c r="D9" s="199"/>
      <c r="E9" s="199"/>
      <c r="F9" s="199"/>
      <c r="G9" s="199"/>
      <c r="H9" s="199"/>
      <c r="I9" s="199"/>
      <c r="J9" s="199"/>
      <c r="K9" s="199"/>
      <c r="L9" s="199"/>
      <c r="M9" s="3"/>
      <c r="O9" s="111"/>
    </row>
    <row r="10" spans="1:15" ht="17.399999999999999" x14ac:dyDescent="0.3">
      <c r="A10" s="258" t="s">
        <v>78</v>
      </c>
      <c r="B10" s="258"/>
      <c r="C10" s="258"/>
      <c r="D10" s="263"/>
      <c r="E10" s="264"/>
      <c r="F10" s="199"/>
      <c r="G10" s="3"/>
      <c r="H10" s="3"/>
      <c r="I10" s="3" t="s">
        <v>62</v>
      </c>
      <c r="J10" s="264"/>
      <c r="K10" s="264"/>
      <c r="L10" s="199"/>
      <c r="M10" s="3"/>
      <c r="O10" s="111" t="s">
        <v>115</v>
      </c>
    </row>
    <row r="11" spans="1:15" ht="9" customHeight="1" x14ac:dyDescent="0.3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O11" s="111"/>
    </row>
    <row r="12" spans="1:15" ht="23.25" customHeight="1" x14ac:dyDescent="0.3">
      <c r="A12" s="259" t="s">
        <v>4</v>
      </c>
      <c r="B12" s="259"/>
      <c r="C12" s="259"/>
      <c r="D12" s="265"/>
      <c r="E12" s="265"/>
      <c r="F12" s="265"/>
      <c r="G12" s="265"/>
      <c r="H12" s="265"/>
      <c r="I12" s="265"/>
      <c r="J12" s="265"/>
      <c r="K12" s="265"/>
      <c r="L12" s="265"/>
      <c r="M12" s="3"/>
      <c r="O12" s="111" t="s">
        <v>72</v>
      </c>
    </row>
    <row r="13" spans="1:15" ht="19.5" customHeight="1" x14ac:dyDescent="0.3">
      <c r="A13" s="258" t="s">
        <v>5</v>
      </c>
      <c r="B13" s="258"/>
      <c r="C13" s="258"/>
      <c r="E13" s="6" t="s">
        <v>6</v>
      </c>
      <c r="F13" s="7"/>
      <c r="G13" s="6"/>
      <c r="H13" s="6" t="s">
        <v>7</v>
      </c>
      <c r="I13" s="7"/>
      <c r="K13" s="3"/>
      <c r="L13" s="3"/>
      <c r="O13" s="111"/>
    </row>
    <row r="14" spans="1:15" ht="20.25" customHeight="1" x14ac:dyDescent="0.3">
      <c r="A14" s="258" t="s">
        <v>8</v>
      </c>
      <c r="B14" s="258"/>
      <c r="C14" s="258"/>
      <c r="D14" s="199"/>
      <c r="E14" s="199"/>
      <c r="F14" s="199"/>
      <c r="G14" s="199"/>
      <c r="H14" s="118"/>
      <c r="I14" s="3"/>
      <c r="J14" s="4"/>
      <c r="K14" s="8"/>
      <c r="L14" s="3"/>
      <c r="M14" s="3"/>
      <c r="O14" s="111"/>
    </row>
    <row r="15" spans="1:15" ht="9" customHeight="1" x14ac:dyDescent="0.3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O15" s="111"/>
    </row>
    <row r="16" spans="1:15" ht="49.5" customHeight="1" x14ac:dyDescent="0.25">
      <c r="A16" s="259" t="s">
        <v>9</v>
      </c>
      <c r="B16" s="259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O16" s="157" t="s">
        <v>73</v>
      </c>
    </row>
    <row r="17" spans="1:16" ht="12" customHeight="1" x14ac:dyDescent="0.3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O17" s="184" t="s">
        <v>114</v>
      </c>
    </row>
    <row r="18" spans="1:16" ht="18.75" customHeight="1" x14ac:dyDescent="0.3">
      <c r="A18" s="258" t="s">
        <v>10</v>
      </c>
      <c r="B18" s="258"/>
      <c r="C18" s="258"/>
      <c r="D18" s="93" t="s">
        <v>130</v>
      </c>
      <c r="E18" s="261" t="str">
        <f>IF(D18="ano","typ","Dopravní prostředek")</f>
        <v>typ</v>
      </c>
      <c r="F18" s="261"/>
      <c r="G18" s="262"/>
      <c r="H18" s="262"/>
      <c r="I18" s="262"/>
      <c r="J18" s="262"/>
      <c r="K18" s="9" t="str">
        <f>IF(D18="ano","SPZ","")</f>
        <v>SPZ</v>
      </c>
      <c r="L18" s="199"/>
      <c r="M18" s="199"/>
      <c r="N18" s="10"/>
      <c r="O18" s="184"/>
    </row>
    <row r="19" spans="1:16" ht="21" customHeight="1" x14ac:dyDescent="0.3">
      <c r="A19" s="3"/>
      <c r="B19" s="3"/>
      <c r="C19" s="3"/>
      <c r="D19" s="3"/>
      <c r="E19" s="261"/>
      <c r="F19" s="261"/>
      <c r="G19" s="262"/>
      <c r="H19" s="262"/>
      <c r="I19" s="262"/>
      <c r="J19" s="262"/>
      <c r="K19" s="9" t="str">
        <f>IF(D18="ano","norma EU","")</f>
        <v>norma EU</v>
      </c>
      <c r="L19" s="199" t="s">
        <v>130</v>
      </c>
      <c r="M19" s="199"/>
      <c r="O19" s="184"/>
    </row>
    <row r="20" spans="1:16" ht="14.25" customHeight="1" x14ac:dyDescent="0.3">
      <c r="A20" s="3"/>
      <c r="B20" s="3"/>
      <c r="C20" s="12"/>
      <c r="D20" s="3"/>
      <c r="E20" s="3"/>
      <c r="F20" s="13"/>
      <c r="G20" s="3"/>
      <c r="H20" s="3"/>
      <c r="K20" s="3"/>
      <c r="L20" s="3"/>
      <c r="M20" s="3"/>
      <c r="O20" s="184"/>
      <c r="P20" s="14"/>
    </row>
    <row r="21" spans="1:16" ht="5.2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111"/>
    </row>
    <row r="22" spans="1:16" ht="27" customHeight="1" x14ac:dyDescent="0.3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184" t="s">
        <v>116</v>
      </c>
    </row>
    <row r="23" spans="1:16" ht="12.75" customHeight="1" x14ac:dyDescent="0.25">
      <c r="A23" s="16"/>
      <c r="B23" s="254" t="s">
        <v>12</v>
      </c>
      <c r="C23" s="254"/>
      <c r="D23" s="254"/>
      <c r="E23" s="254"/>
      <c r="F23" s="254"/>
      <c r="G23" s="16"/>
      <c r="H23" s="16"/>
      <c r="I23" s="16"/>
      <c r="J23" s="254" t="str">
        <f>IF(J24="","","…………………………..………….…………………………")</f>
        <v/>
      </c>
      <c r="K23" s="254"/>
      <c r="L23" s="254"/>
      <c r="M23" s="254"/>
      <c r="O23" s="184"/>
    </row>
    <row r="24" spans="1:16" ht="12.75" customHeight="1" x14ac:dyDescent="0.25">
      <c r="A24" s="16"/>
      <c r="B24" s="15" t="s">
        <v>11</v>
      </c>
      <c r="G24" s="16"/>
      <c r="H24" s="16"/>
      <c r="I24" s="16"/>
      <c r="J24" s="255" t="str">
        <f>IF(K7="ano","Datum a podpis vedoucího pracovníka:","")</f>
        <v/>
      </c>
      <c r="K24" s="255"/>
      <c r="L24" s="255"/>
      <c r="M24" s="255"/>
      <c r="O24" s="184"/>
    </row>
    <row r="25" spans="1:16" ht="12.75" customHeight="1" x14ac:dyDescent="0.3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184"/>
    </row>
    <row r="26" spans="1:16" ht="7.5" customHeight="1" x14ac:dyDescent="0.25">
      <c r="O26" s="184"/>
    </row>
    <row r="27" spans="1:16" ht="27" customHeight="1" x14ac:dyDescent="0.3">
      <c r="B27" s="10" t="s">
        <v>13</v>
      </c>
      <c r="O27" s="184"/>
    </row>
    <row r="28" spans="1:16" ht="10.5" customHeight="1" x14ac:dyDescent="0.25">
      <c r="O28" s="183" t="s">
        <v>117</v>
      </c>
    </row>
    <row r="29" spans="1:16" ht="25.5" customHeight="1" x14ac:dyDescent="0.25">
      <c r="O29" s="183"/>
    </row>
    <row r="30" spans="1:16" ht="12.75" customHeight="1" x14ac:dyDescent="0.25">
      <c r="A30" t="s">
        <v>14</v>
      </c>
      <c r="E30" s="161" t="s">
        <v>126</v>
      </c>
      <c r="F30" s="161"/>
      <c r="G30" s="161"/>
      <c r="H30" s="161"/>
      <c r="I30" s="161"/>
      <c r="J30" s="254" t="str">
        <f>IF(J31="","","…………………………………………………...…………….")</f>
        <v/>
      </c>
      <c r="K30" s="254"/>
      <c r="L30" s="254"/>
      <c r="M30" s="254"/>
      <c r="O30" s="183"/>
    </row>
    <row r="31" spans="1:16" ht="12.75" customHeight="1" x14ac:dyDescent="0.25">
      <c r="E31" s="255" t="s">
        <v>16</v>
      </c>
      <c r="F31" s="255"/>
      <c r="G31" s="255"/>
      <c r="H31" s="255"/>
      <c r="I31" s="15"/>
      <c r="J31" s="255" t="str">
        <f>IF(K7="ano","Datum a podpis nadřízeného pracovníka","")</f>
        <v/>
      </c>
      <c r="K31" s="255"/>
      <c r="L31" s="255"/>
      <c r="M31" s="255"/>
      <c r="O31" s="183"/>
    </row>
    <row r="32" spans="1:16" ht="15.6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O32" s="111"/>
    </row>
    <row r="33" spans="1:15" ht="13.8" thickBot="1" x14ac:dyDescent="0.3">
      <c r="O33" s="184" t="s">
        <v>118</v>
      </c>
    </row>
    <row r="34" spans="1:15" ht="13.8" thickBot="1" x14ac:dyDescent="0.3">
      <c r="B34" s="243" t="str">
        <f>IF(D18="ano","Cena Phm/l v Kč","")</f>
        <v>Cena Phm/l v Kč</v>
      </c>
      <c r="C34" s="244"/>
      <c r="D34" s="245" t="str">
        <f>IF(D18="ano",IF(C35="","Nemám doklad",""),"")</f>
        <v>Nemám doklad</v>
      </c>
      <c r="E34" s="247" t="str">
        <f>IF(D34="","","Druh Phm")</f>
        <v>Druh Phm</v>
      </c>
      <c r="F34" s="248"/>
      <c r="J34" t="str">
        <f>IF(D18="ano","Spotřeba dle TP","")</f>
        <v>Spotřeba dle TP</v>
      </c>
      <c r="O34" s="184"/>
    </row>
    <row r="35" spans="1:15" ht="15" customHeight="1" thickBot="1" x14ac:dyDescent="0.35">
      <c r="B35" s="158" t="str">
        <f>IF(F13="","",IF(C35="",IF(E35="Natural 95",'data-Vyplní jednotka !'!AA8,IF(E35="Nafta",'data-Vyplní jednotka !'!AA7,"")),""))</f>
        <v/>
      </c>
      <c r="C35" s="125"/>
      <c r="D35" s="246"/>
      <c r="E35" s="249"/>
      <c r="F35" s="250"/>
      <c r="J35" s="25" t="str">
        <f>IF(D18="ano","1","")</f>
        <v>1</v>
      </c>
      <c r="K35" s="26" t="str">
        <f>IF(D18="ano","2","")</f>
        <v>2</v>
      </c>
      <c r="L35" s="27" t="str">
        <f>IF(D18="ano", "3","")</f>
        <v>3</v>
      </c>
      <c r="N35" s="73"/>
      <c r="O35" s="184"/>
    </row>
    <row r="36" spans="1:15" ht="13.8" thickBot="1" x14ac:dyDescent="0.3">
      <c r="J36" s="28"/>
      <c r="K36" s="29"/>
      <c r="L36" s="30"/>
      <c r="M36" s="89">
        <f>IF(D18="ne","",IF(D18="","",IF(L19="ne",((J36+K36+L36)/3),L36)))</f>
        <v>0</v>
      </c>
      <c r="O36" s="184"/>
    </row>
    <row r="37" spans="1:15" ht="14.4" thickBot="1" x14ac:dyDescent="0.3">
      <c r="A37" s="251" t="s">
        <v>20</v>
      </c>
      <c r="B37" s="251"/>
      <c r="O37" s="184"/>
    </row>
    <row r="38" spans="1:15" ht="12.75" customHeight="1" x14ac:dyDescent="0.25">
      <c r="A38" s="228" t="s">
        <v>38</v>
      </c>
      <c r="B38" s="229"/>
      <c r="C38" s="31" t="s">
        <v>21</v>
      </c>
      <c r="D38" s="162" t="s">
        <v>22</v>
      </c>
      <c r="E38" s="252" t="s">
        <v>23</v>
      </c>
      <c r="F38" s="253"/>
      <c r="G38" s="230" t="str">
        <f>IF(D18="ano","Ujeté Km","")</f>
        <v>Ujeté Km</v>
      </c>
      <c r="H38" s="230" t="s">
        <v>91</v>
      </c>
      <c r="I38" s="232" t="s">
        <v>79</v>
      </c>
      <c r="J38" s="32" t="s">
        <v>24</v>
      </c>
      <c r="K38" s="256" t="s">
        <v>17</v>
      </c>
      <c r="L38" s="34" t="s">
        <v>25</v>
      </c>
      <c r="M38" s="234" t="s">
        <v>26</v>
      </c>
      <c r="O38" s="184"/>
    </row>
    <row r="39" spans="1:15" ht="15" customHeight="1" thickBot="1" x14ac:dyDescent="0.3">
      <c r="A39" t="s">
        <v>39</v>
      </c>
      <c r="B39" t="s">
        <v>40</v>
      </c>
      <c r="C39" s="37"/>
      <c r="D39" s="163" t="s">
        <v>32</v>
      </c>
      <c r="E39" s="236" t="s">
        <v>33</v>
      </c>
      <c r="F39" s="237"/>
      <c r="G39" s="231"/>
      <c r="H39" s="231"/>
      <c r="I39" s="233"/>
      <c r="J39" s="38" t="s">
        <v>34</v>
      </c>
      <c r="K39" s="257"/>
      <c r="L39" s="39" t="s">
        <v>35</v>
      </c>
      <c r="M39" s="235"/>
      <c r="O39" s="184"/>
    </row>
    <row r="40" spans="1:15" ht="13.8" thickBot="1" x14ac:dyDescent="0.3">
      <c r="A40" s="47">
        <f>F13</f>
        <v>0</v>
      </c>
      <c r="B40" s="49" t="str">
        <f>IF(D40="","",D40)</f>
        <v/>
      </c>
      <c r="C40" s="238"/>
      <c r="D40" s="43"/>
      <c r="E40" s="240"/>
      <c r="F40" s="241"/>
      <c r="G40" s="225"/>
      <c r="H40" s="225"/>
      <c r="I40" s="242"/>
      <c r="J40" s="225"/>
      <c r="K40" s="225"/>
      <c r="L40" s="226"/>
      <c r="M40" s="227" t="str">
        <f>IF(C40="","",IF('data-Vyplní jednotka !'!X13=0,"",'data-Vyplní jednotka !'!X13))</f>
        <v/>
      </c>
      <c r="O40" s="184"/>
    </row>
    <row r="41" spans="1:15" ht="15.6" x14ac:dyDescent="0.3">
      <c r="A41" s="228" t="s">
        <v>41</v>
      </c>
      <c r="B41" s="229"/>
      <c r="C41" s="239"/>
      <c r="D41" s="45"/>
      <c r="E41" s="208"/>
      <c r="F41" s="209"/>
      <c r="G41" s="211"/>
      <c r="H41" s="211"/>
      <c r="I41" s="220"/>
      <c r="J41" s="211"/>
      <c r="K41" s="211"/>
      <c r="L41" s="205"/>
      <c r="M41" s="207"/>
      <c r="O41" s="111"/>
    </row>
    <row r="42" spans="1:15" ht="16.2" thickBot="1" x14ac:dyDescent="0.35">
      <c r="A42" t="s">
        <v>39</v>
      </c>
      <c r="B42" t="s">
        <v>40</v>
      </c>
      <c r="C42" s="217"/>
      <c r="D42" s="48"/>
      <c r="E42" s="208"/>
      <c r="F42" s="209"/>
      <c r="G42" s="210"/>
      <c r="H42" s="210"/>
      <c r="I42" s="219"/>
      <c r="J42" s="210"/>
      <c r="K42" s="210"/>
      <c r="L42" s="204"/>
      <c r="M42" s="206" t="str">
        <f>IF(C42="","",IF('data-Vyplní jednotka !'!X14=0,"",'data-Vyplní jednotka !'!X14))</f>
        <v/>
      </c>
      <c r="O42" s="111"/>
    </row>
    <row r="43" spans="1:15" ht="16.2" thickBot="1" x14ac:dyDescent="0.35">
      <c r="A43" s="47">
        <f>I13</f>
        <v>0</v>
      </c>
      <c r="B43" s="49">
        <f>IF(C42="",D41,IF(C44="",D43,IF(C46="",D45,IF(C48="",D47,IF(C50="",D49,IF(C52="",D51,IF(C54="",D53,D55)))))))</f>
        <v>0</v>
      </c>
      <c r="C43" s="218"/>
      <c r="D43" s="48"/>
      <c r="E43" s="208"/>
      <c r="F43" s="209"/>
      <c r="G43" s="211"/>
      <c r="H43" s="211"/>
      <c r="I43" s="220"/>
      <c r="J43" s="211"/>
      <c r="K43" s="211"/>
      <c r="L43" s="205"/>
      <c r="M43" s="207"/>
      <c r="O43" s="111"/>
    </row>
    <row r="44" spans="1:15" x14ac:dyDescent="0.25">
      <c r="C44" s="217"/>
      <c r="D44" s="48"/>
      <c r="E44" s="208"/>
      <c r="F44" s="209"/>
      <c r="G44" s="210"/>
      <c r="H44" s="210"/>
      <c r="I44" s="219"/>
      <c r="J44" s="210"/>
      <c r="K44" s="210"/>
      <c r="L44" s="204"/>
      <c r="M44" s="206" t="str">
        <f>IF(C44="","",IF('data-Vyplní jednotka !'!X15=0,"",'data-Vyplní jednotka !'!X15))</f>
        <v/>
      </c>
      <c r="O44" s="184" t="s">
        <v>127</v>
      </c>
    </row>
    <row r="45" spans="1:15" x14ac:dyDescent="0.25">
      <c r="C45" s="218"/>
      <c r="D45" s="48"/>
      <c r="E45" s="208"/>
      <c r="F45" s="209"/>
      <c r="G45" s="211"/>
      <c r="H45" s="211"/>
      <c r="I45" s="220"/>
      <c r="J45" s="211"/>
      <c r="K45" s="211"/>
      <c r="L45" s="205"/>
      <c r="M45" s="207"/>
      <c r="O45" s="184"/>
    </row>
    <row r="46" spans="1:15" x14ac:dyDescent="0.25">
      <c r="A46" s="223" t="s">
        <v>58</v>
      </c>
      <c r="B46" s="224"/>
      <c r="C46" s="217"/>
      <c r="D46" s="48"/>
      <c r="E46" s="208"/>
      <c r="F46" s="209"/>
      <c r="G46" s="210"/>
      <c r="H46" s="210"/>
      <c r="I46" s="219"/>
      <c r="J46" s="210"/>
      <c r="K46" s="210"/>
      <c r="L46" s="204"/>
      <c r="M46" s="206" t="str">
        <f>IF(C46="","",IF('data-Vyplní jednotka !'!X16=0,"",'data-Vyplní jednotka !'!X16))</f>
        <v/>
      </c>
      <c r="O46" s="184"/>
    </row>
    <row r="47" spans="1:15" x14ac:dyDescent="0.25">
      <c r="A47" s="223"/>
      <c r="B47" s="224"/>
      <c r="C47" s="218"/>
      <c r="D47" s="48"/>
      <c r="E47" s="208"/>
      <c r="F47" s="209"/>
      <c r="G47" s="211"/>
      <c r="H47" s="211"/>
      <c r="I47" s="220"/>
      <c r="J47" s="211"/>
      <c r="K47" s="211"/>
      <c r="L47" s="205"/>
      <c r="M47" s="207"/>
      <c r="O47" s="184"/>
    </row>
    <row r="48" spans="1:15" ht="13.8" x14ac:dyDescent="0.25">
      <c r="A48" s="90" t="str">
        <f>IF('data-Vyplní jednotka !'!X7=0,"",'data-Vyplní jednotka !'!X7)</f>
        <v/>
      </c>
      <c r="C48" s="217"/>
      <c r="D48" s="48"/>
      <c r="E48" s="208"/>
      <c r="F48" s="209"/>
      <c r="G48" s="210"/>
      <c r="H48" s="210"/>
      <c r="I48" s="219"/>
      <c r="J48" s="210"/>
      <c r="K48" s="210"/>
      <c r="L48" s="204"/>
      <c r="M48" s="206" t="str">
        <f>IF(C48="","",IF('data-Vyplní jednotka !'!X17=0,"",'data-Vyplní jednotka !'!X17))</f>
        <v/>
      </c>
      <c r="O48" s="184"/>
    </row>
    <row r="49" spans="1:15" x14ac:dyDescent="0.25">
      <c r="A49" s="11" t="s">
        <v>100</v>
      </c>
      <c r="B49" s="128">
        <f>'data-Vyplní jednotka !'!B10</f>
        <v>15</v>
      </c>
      <c r="C49" s="218"/>
      <c r="D49" s="48"/>
      <c r="E49" s="208"/>
      <c r="F49" s="209"/>
      <c r="G49" s="211"/>
      <c r="H49" s="211"/>
      <c r="I49" s="220"/>
      <c r="J49" s="211"/>
      <c r="K49" s="211"/>
      <c r="L49" s="205"/>
      <c r="M49" s="207"/>
      <c r="O49" s="184"/>
    </row>
    <row r="50" spans="1:15" ht="15.6" x14ac:dyDescent="0.3">
      <c r="C50" s="217"/>
      <c r="D50" s="48"/>
      <c r="E50" s="208"/>
      <c r="F50" s="209"/>
      <c r="G50" s="210"/>
      <c r="H50" s="210"/>
      <c r="I50" s="219"/>
      <c r="J50" s="210"/>
      <c r="K50" s="210"/>
      <c r="L50" s="204"/>
      <c r="M50" s="206" t="str">
        <f>IF(C50="","",IF('data-Vyplní jednotka !'!X18=0,"",'data-Vyplní jednotka !'!X18))</f>
        <v/>
      </c>
      <c r="O50" s="111"/>
    </row>
    <row r="51" spans="1:15" ht="15.6" x14ac:dyDescent="0.3">
      <c r="C51" s="218"/>
      <c r="D51" s="48"/>
      <c r="E51" s="208"/>
      <c r="F51" s="209"/>
      <c r="G51" s="211"/>
      <c r="H51" s="211"/>
      <c r="I51" s="220"/>
      <c r="J51" s="211"/>
      <c r="K51" s="211"/>
      <c r="L51" s="205"/>
      <c r="M51" s="207"/>
      <c r="O51" s="111"/>
    </row>
    <row r="52" spans="1:15" ht="15.6" x14ac:dyDescent="0.3">
      <c r="C52" s="217"/>
      <c r="D52" s="48"/>
      <c r="E52" s="208"/>
      <c r="F52" s="209"/>
      <c r="G52" s="210"/>
      <c r="H52" s="210"/>
      <c r="I52" s="219"/>
      <c r="J52" s="210"/>
      <c r="K52" s="210"/>
      <c r="L52" s="204"/>
      <c r="M52" s="206" t="str">
        <f>IF(C52="","",IF('data-Vyplní jednotka !'!X19=0,"",'data-Vyplní jednotka !'!X19))</f>
        <v/>
      </c>
      <c r="O52" s="111"/>
    </row>
    <row r="53" spans="1:15" ht="15.6" x14ac:dyDescent="0.3">
      <c r="C53" s="218"/>
      <c r="D53" s="48"/>
      <c r="E53" s="208"/>
      <c r="F53" s="209"/>
      <c r="G53" s="211"/>
      <c r="H53" s="211"/>
      <c r="I53" s="220"/>
      <c r="J53" s="211"/>
      <c r="K53" s="211"/>
      <c r="L53" s="205"/>
      <c r="M53" s="207"/>
      <c r="O53" s="111"/>
    </row>
    <row r="54" spans="1:15" ht="15.6" x14ac:dyDescent="0.3">
      <c r="C54" s="217"/>
      <c r="D54" s="48"/>
      <c r="E54" s="208"/>
      <c r="F54" s="209"/>
      <c r="G54" s="210"/>
      <c r="H54" s="210"/>
      <c r="I54" s="219"/>
      <c r="J54" s="210"/>
      <c r="K54" s="210"/>
      <c r="L54" s="204"/>
      <c r="M54" s="206" t="str">
        <f>IF(C54="","",IF('data-Vyplní jednotka !'!X20=0,"",'data-Vyplní jednotka !'!X20))</f>
        <v/>
      </c>
      <c r="O54" s="111"/>
    </row>
    <row r="55" spans="1:15" ht="16.2" thickBot="1" x14ac:dyDescent="0.35">
      <c r="C55" s="221"/>
      <c r="D55" s="50"/>
      <c r="E55" s="215"/>
      <c r="F55" s="216"/>
      <c r="G55" s="212"/>
      <c r="H55" s="212"/>
      <c r="I55" s="222"/>
      <c r="J55" s="212"/>
      <c r="K55" s="212"/>
      <c r="L55" s="213"/>
      <c r="M55" s="214"/>
      <c r="O55" s="111" t="s">
        <v>121</v>
      </c>
    </row>
    <row r="56" spans="1:15" ht="20.25" customHeight="1" thickBot="1" x14ac:dyDescent="0.3">
      <c r="C56" s="75"/>
      <c r="D56" s="51"/>
      <c r="E56" s="51"/>
      <c r="G56" s="74"/>
      <c r="H56" s="74"/>
      <c r="I56" s="74"/>
      <c r="J56" s="74"/>
      <c r="K56" s="202" t="s">
        <v>56</v>
      </c>
      <c r="L56" s="203"/>
      <c r="M56" s="117">
        <f>'data-Vyplní jednotka !'!X23</f>
        <v>0</v>
      </c>
      <c r="O56" s="184" t="s">
        <v>120</v>
      </c>
    </row>
    <row r="57" spans="1:15" ht="21" customHeight="1" thickBot="1" x14ac:dyDescent="0.3">
      <c r="A57" s="122"/>
      <c r="B57" s="122"/>
      <c r="C57" s="122"/>
      <c r="D57" s="122"/>
      <c r="E57" s="122"/>
      <c r="F57" s="122"/>
      <c r="K57" s="191" t="s">
        <v>43</v>
      </c>
      <c r="L57" s="192"/>
      <c r="M57" s="91"/>
      <c r="O57" s="184"/>
    </row>
    <row r="58" spans="1:15" ht="17.25" customHeight="1" x14ac:dyDescent="0.25">
      <c r="A58" s="52"/>
      <c r="B58" s="121"/>
      <c r="C58" s="85"/>
      <c r="D58" s="52"/>
      <c r="E58" s="121"/>
      <c r="F58" s="85"/>
      <c r="J58" s="53"/>
      <c r="K58" s="193" t="s">
        <v>45</v>
      </c>
      <c r="L58" s="194"/>
      <c r="M58" s="197">
        <f>ROUND(M56-M57,0)</f>
        <v>0</v>
      </c>
      <c r="O58" s="184"/>
    </row>
    <row r="59" spans="1:15" ht="16.5" customHeight="1" thickBot="1" x14ac:dyDescent="0.3">
      <c r="F59" s="85"/>
      <c r="K59" s="195"/>
      <c r="L59" s="196"/>
      <c r="M59" s="198"/>
      <c r="O59" s="184" t="s">
        <v>122</v>
      </c>
    </row>
    <row r="60" spans="1:15" ht="16.5" customHeight="1" thickBot="1" x14ac:dyDescent="0.3">
      <c r="A60" s="52"/>
      <c r="B60" s="188" t="s">
        <v>44</v>
      </c>
      <c r="C60" s="188"/>
      <c r="D60" s="188"/>
      <c r="E60" s="87">
        <v>0</v>
      </c>
      <c r="F60" s="85"/>
      <c r="G60" s="53"/>
      <c r="H60" s="53"/>
      <c r="I60" s="53"/>
      <c r="J60" s="53"/>
      <c r="O60" s="184"/>
    </row>
    <row r="61" spans="1:15" ht="16.5" customHeight="1" x14ac:dyDescent="0.25">
      <c r="A61" s="52"/>
      <c r="B61" s="121"/>
      <c r="C61" s="85"/>
      <c r="D61" s="52"/>
      <c r="E61" s="121"/>
      <c r="F61" s="85"/>
      <c r="G61" s="53"/>
      <c r="H61" s="53"/>
      <c r="I61" s="53"/>
      <c r="J61" s="53"/>
      <c r="O61" s="184"/>
    </row>
    <row r="62" spans="1:15" ht="16.5" customHeight="1" x14ac:dyDescent="0.3">
      <c r="A62" s="52"/>
      <c r="E62" s="121"/>
      <c r="F62" s="85"/>
      <c r="O62" s="111"/>
    </row>
    <row r="63" spans="1:15" ht="16.5" customHeight="1" x14ac:dyDescent="0.3">
      <c r="A63" s="52"/>
      <c r="E63" s="121"/>
      <c r="F63" s="85"/>
      <c r="G63" s="187" t="s">
        <v>47</v>
      </c>
      <c r="H63" s="187"/>
      <c r="I63" s="187"/>
      <c r="J63" s="187"/>
      <c r="K63" s="187"/>
      <c r="L63" s="187"/>
      <c r="M63" s="187"/>
      <c r="O63" s="111"/>
    </row>
    <row r="64" spans="1:15" ht="16.5" customHeight="1" x14ac:dyDescent="0.25">
      <c r="A64" s="52"/>
      <c r="E64" s="121"/>
      <c r="F64" s="85"/>
      <c r="O64" s="184" t="s">
        <v>76</v>
      </c>
    </row>
    <row r="65" spans="1:22" ht="16.5" customHeight="1" x14ac:dyDescent="0.25">
      <c r="A65" s="52"/>
      <c r="B65" s="121"/>
      <c r="C65" s="85"/>
      <c r="D65" s="52"/>
      <c r="E65" s="121"/>
      <c r="F65" s="85"/>
      <c r="G65" s="88"/>
      <c r="H65" s="88"/>
      <c r="I65" s="88"/>
      <c r="O65" s="184"/>
    </row>
    <row r="66" spans="1:22" ht="16.5" customHeight="1" x14ac:dyDescent="0.3">
      <c r="A66" s="52"/>
      <c r="B66" s="56"/>
      <c r="C66" s="57"/>
      <c r="D66" s="58"/>
      <c r="E66" s="121"/>
      <c r="F66" s="85"/>
      <c r="G66" s="53"/>
      <c r="H66" s="53"/>
      <c r="I66" s="123"/>
      <c r="J66" s="124"/>
      <c r="K66" s="124"/>
      <c r="L66" s="124"/>
      <c r="M66" s="124"/>
      <c r="O66" s="111"/>
    </row>
    <row r="67" spans="1:22" ht="21.75" customHeight="1" x14ac:dyDescent="0.3">
      <c r="A67" s="52"/>
      <c r="B67" s="119" t="s">
        <v>93</v>
      </c>
      <c r="C67" s="199"/>
      <c r="D67" s="200"/>
      <c r="E67" s="121"/>
      <c r="F67" s="85"/>
      <c r="G67" s="53"/>
      <c r="H67" s="53"/>
      <c r="I67" s="201" t="s">
        <v>48</v>
      </c>
      <c r="J67" s="201"/>
      <c r="K67" s="201"/>
      <c r="L67" s="201"/>
      <c r="M67" s="201"/>
      <c r="O67" s="184" t="s">
        <v>129</v>
      </c>
    </row>
    <row r="68" spans="1:22" ht="11.25" customHeight="1" x14ac:dyDescent="0.25">
      <c r="B68" s="59"/>
      <c r="C68" s="189"/>
      <c r="D68" s="190"/>
      <c r="H68" s="53"/>
      <c r="O68" s="184"/>
    </row>
    <row r="69" spans="1:22" ht="16.5" customHeight="1" x14ac:dyDescent="0.25">
      <c r="C69" s="52"/>
      <c r="D69" s="51"/>
      <c r="E69" s="51"/>
      <c r="J69" s="53"/>
      <c r="O69" s="184"/>
    </row>
    <row r="70" spans="1:22" ht="16.5" customHeight="1" x14ac:dyDescent="0.25">
      <c r="B70" s="92"/>
      <c r="C70" s="92"/>
      <c r="D70" s="92"/>
      <c r="I70" s="53"/>
      <c r="J70" s="53"/>
      <c r="O70" s="184"/>
    </row>
    <row r="71" spans="1:22" ht="15.75" customHeight="1" x14ac:dyDescent="0.25">
      <c r="E71" s="51"/>
      <c r="G71" s="53"/>
      <c r="H71" s="53"/>
      <c r="O71" s="184"/>
      <c r="V71" s="85"/>
    </row>
    <row r="72" spans="1:22" x14ac:dyDescent="0.25">
      <c r="V72" s="85"/>
    </row>
    <row r="73" spans="1:22" x14ac:dyDescent="0.25">
      <c r="V73" s="85"/>
    </row>
    <row r="74" spans="1:22" x14ac:dyDescent="0.25">
      <c r="V74" s="85"/>
    </row>
    <row r="75" spans="1:22" x14ac:dyDescent="0.25">
      <c r="V75" s="85"/>
    </row>
    <row r="76" spans="1:22" x14ac:dyDescent="0.25">
      <c r="V76" s="85"/>
    </row>
  </sheetData>
  <mergeCells count="140"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</mergeCells>
  <dataValidations count="3">
    <dataValidation type="list" allowBlank="1" showInputMessage="1" showErrorMessage="1" sqref="H40:H55" xr:uid="{00000000-0002-0000-0100-000000000000}">
      <formula1>"ano, ne"</formula1>
    </dataValidation>
    <dataValidation type="list" allowBlank="1" showInputMessage="1" showErrorMessage="1" sqref="E35:F35" xr:uid="{00000000-0002-0000-0100-000001000000}">
      <formula1>"Nafta,Natural 95"</formula1>
    </dataValidation>
    <dataValidation type="list" allowBlank="1" showInputMessage="1" showErrorMessage="1" sqref="K7 E61:E67 E58 B65 B58 B61 D18 L19:M19" xr:uid="{00000000-0002-0000-0100-000002000000}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75"/>
  <sheetViews>
    <sheetView topLeftCell="A13" zoomScale="70" zoomScaleNormal="70" workbookViewId="0">
      <selection activeCell="E35" sqref="E35:F35"/>
    </sheetView>
  </sheetViews>
  <sheetFormatPr defaultRowHeight="13.2" outlineLevelCol="1" x14ac:dyDescent="0.25"/>
  <cols>
    <col min="1" max="1" width="8.5546875" customWidth="1"/>
    <col min="2" max="2" width="8.88671875" customWidth="1"/>
    <col min="3" max="3" width="10.44140625" customWidth="1"/>
    <col min="4" max="4" width="11.44140625" customWidth="1"/>
    <col min="5" max="5" width="10" customWidth="1"/>
    <col min="6" max="6" width="10.109375" customWidth="1"/>
    <col min="7" max="7" width="11.5546875" customWidth="1"/>
    <col min="8" max="8" width="12.109375" customWidth="1"/>
    <col min="9" max="9" width="11.5546875" customWidth="1"/>
    <col min="10" max="10" width="9.88671875" customWidth="1"/>
    <col min="11" max="11" width="11.109375" customWidth="1"/>
    <col min="12" max="12" width="16" customWidth="1"/>
    <col min="13" max="13" width="71.109375" customWidth="1"/>
    <col min="14" max="15" width="11" customWidth="1"/>
    <col min="16" max="18" width="9.109375" customWidth="1"/>
    <col min="19" max="20" width="9.109375" hidden="1" customWidth="1" outlineLevel="1"/>
    <col min="21" max="21" width="12" hidden="1" customWidth="1" outlineLevel="1"/>
    <col min="22" max="22" width="9.109375" hidden="1" customWidth="1" outlineLevel="1"/>
    <col min="23" max="23" width="12.109375" hidden="1" customWidth="1" outlineLevel="1"/>
    <col min="24" max="25" width="9.109375" hidden="1" customWidth="1" outlineLevel="1"/>
    <col min="26" max="26" width="10.109375" hidden="1" customWidth="1" outlineLevel="1"/>
    <col min="27" max="33" width="9.109375" hidden="1" customWidth="1" outlineLevel="1"/>
    <col min="34" max="34" width="9.109375" customWidth="1" collapsed="1"/>
    <col min="35" max="35" width="9.109375" customWidth="1"/>
  </cols>
  <sheetData>
    <row r="1" spans="1:13" ht="78" customHeight="1" thickBot="1" x14ac:dyDescent="0.45">
      <c r="A1" s="288" t="s">
        <v>71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08" t="s">
        <v>77</v>
      </c>
    </row>
    <row r="2" spans="1:13" ht="12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109"/>
    </row>
    <row r="3" spans="1:13" ht="33" customHeight="1" x14ac:dyDescent="0.4">
      <c r="A3" s="22"/>
      <c r="C3" s="313" t="s">
        <v>92</v>
      </c>
      <c r="D3" s="313"/>
      <c r="E3" s="313"/>
      <c r="F3" s="313"/>
      <c r="G3" s="313"/>
      <c r="H3" s="313"/>
      <c r="I3" s="1"/>
      <c r="L3" s="23"/>
      <c r="M3" s="109"/>
    </row>
    <row r="4" spans="1:13" ht="12.75" customHeight="1" x14ac:dyDescent="0.4">
      <c r="A4" s="22"/>
      <c r="B4" s="2"/>
      <c r="C4" s="2"/>
      <c r="D4" s="2"/>
      <c r="E4" s="2"/>
      <c r="F4" s="2"/>
      <c r="L4" s="23"/>
      <c r="M4" s="109"/>
    </row>
    <row r="5" spans="1:13" ht="12" customHeight="1" x14ac:dyDescent="0.4">
      <c r="A5" s="22"/>
      <c r="B5" s="2"/>
      <c r="C5" s="2"/>
      <c r="D5" s="2"/>
      <c r="E5" s="2"/>
      <c r="F5" s="2"/>
      <c r="L5" s="23"/>
      <c r="M5" s="109"/>
    </row>
    <row r="6" spans="1:13" x14ac:dyDescent="0.25">
      <c r="A6" s="22"/>
      <c r="L6" s="23"/>
      <c r="M6" s="109"/>
    </row>
    <row r="7" spans="1:13" ht="17.25" customHeight="1" x14ac:dyDescent="0.3">
      <c r="A7" s="314" t="s">
        <v>0</v>
      </c>
      <c r="B7" s="258"/>
      <c r="C7" s="258"/>
      <c r="D7" s="315" t="s">
        <v>63</v>
      </c>
      <c r="E7" s="315"/>
      <c r="F7" s="315"/>
      <c r="G7" s="315"/>
      <c r="H7" s="316"/>
      <c r="I7" s="316"/>
      <c r="J7" s="120"/>
      <c r="K7" s="4"/>
      <c r="L7" s="97"/>
      <c r="M7" s="110" t="s">
        <v>113</v>
      </c>
    </row>
    <row r="8" spans="1:13" ht="17.25" customHeight="1" x14ac:dyDescent="0.3">
      <c r="A8" s="98"/>
      <c r="B8" s="4"/>
      <c r="C8" s="4"/>
      <c r="D8" s="266" t="s">
        <v>2</v>
      </c>
      <c r="E8" s="266"/>
      <c r="F8" s="266"/>
      <c r="G8" s="3"/>
      <c r="H8" s="3"/>
      <c r="I8" s="3"/>
      <c r="J8" s="3"/>
      <c r="K8" s="3"/>
      <c r="L8" s="99"/>
      <c r="M8" s="111"/>
    </row>
    <row r="9" spans="1:13" ht="17.399999999999999" x14ac:dyDescent="0.3">
      <c r="A9" s="314" t="s">
        <v>1</v>
      </c>
      <c r="B9" s="258"/>
      <c r="C9" s="258"/>
      <c r="D9" s="315" t="s">
        <v>64</v>
      </c>
      <c r="E9" s="315"/>
      <c r="F9" s="315"/>
      <c r="G9" s="315"/>
      <c r="H9" s="315"/>
      <c r="I9" s="315"/>
      <c r="J9" s="315"/>
      <c r="K9" s="315"/>
      <c r="L9" s="99"/>
      <c r="M9" s="111"/>
    </row>
    <row r="10" spans="1:13" ht="17.399999999999999" x14ac:dyDescent="0.3">
      <c r="A10" s="314" t="s">
        <v>3</v>
      </c>
      <c r="B10" s="258"/>
      <c r="C10" s="258"/>
      <c r="D10" s="322"/>
      <c r="E10" s="322"/>
      <c r="F10" s="315"/>
      <c r="G10" s="3"/>
      <c r="H10" s="3" t="s">
        <v>62</v>
      </c>
      <c r="I10" s="322" t="s">
        <v>65</v>
      </c>
      <c r="J10" s="322"/>
      <c r="K10" s="315"/>
      <c r="L10" s="99"/>
      <c r="M10" s="111" t="s">
        <v>115</v>
      </c>
    </row>
    <row r="11" spans="1:13" ht="9" customHeight="1" x14ac:dyDescent="0.3">
      <c r="A11" s="98"/>
      <c r="B11" s="4"/>
      <c r="C11" s="4"/>
      <c r="D11" s="3"/>
      <c r="E11" s="3"/>
      <c r="F11" s="3"/>
      <c r="G11" s="3"/>
      <c r="H11" s="3"/>
      <c r="I11" s="3"/>
      <c r="J11" s="3"/>
      <c r="K11" s="3"/>
      <c r="L11" s="99"/>
      <c r="M11" s="111"/>
    </row>
    <row r="12" spans="1:13" ht="23.25" customHeight="1" x14ac:dyDescent="0.3">
      <c r="A12" s="317" t="s">
        <v>4</v>
      </c>
      <c r="B12" s="259"/>
      <c r="C12" s="259"/>
      <c r="D12" s="323" t="s">
        <v>66</v>
      </c>
      <c r="E12" s="323"/>
      <c r="F12" s="323"/>
      <c r="G12" s="323"/>
      <c r="H12" s="323"/>
      <c r="I12" s="323"/>
      <c r="J12" s="323"/>
      <c r="K12" s="323"/>
      <c r="L12" s="99"/>
      <c r="M12" s="111" t="s">
        <v>72</v>
      </c>
    </row>
    <row r="13" spans="1:13" ht="19.5" customHeight="1" x14ac:dyDescent="0.3">
      <c r="A13" s="314" t="s">
        <v>5</v>
      </c>
      <c r="B13" s="258"/>
      <c r="C13" s="258"/>
      <c r="E13" s="6" t="s">
        <v>6</v>
      </c>
      <c r="F13" s="94">
        <v>41094</v>
      </c>
      <c r="G13" s="6" t="s">
        <v>7</v>
      </c>
      <c r="H13" s="94">
        <v>41105</v>
      </c>
      <c r="J13" s="3"/>
      <c r="K13" s="3"/>
      <c r="L13" s="23"/>
      <c r="M13" s="111"/>
    </row>
    <row r="14" spans="1:13" ht="20.25" customHeight="1" x14ac:dyDescent="0.3">
      <c r="A14" s="314" t="s">
        <v>8</v>
      </c>
      <c r="B14" s="258"/>
      <c r="C14" s="258"/>
      <c r="D14" s="315" t="s">
        <v>67</v>
      </c>
      <c r="E14" s="315"/>
      <c r="F14" s="315"/>
      <c r="G14" s="315"/>
      <c r="H14" s="3"/>
      <c r="I14" s="4"/>
      <c r="J14" s="8"/>
      <c r="K14" s="3"/>
      <c r="L14" s="99"/>
      <c r="M14" s="111"/>
    </row>
    <row r="15" spans="1:13" ht="9" customHeight="1" x14ac:dyDescent="0.3">
      <c r="A15" s="98"/>
      <c r="B15" s="4"/>
      <c r="C15" s="4"/>
      <c r="D15" s="3"/>
      <c r="E15" s="3"/>
      <c r="F15" s="3"/>
      <c r="G15" s="3"/>
      <c r="H15" s="3"/>
      <c r="I15" s="3"/>
      <c r="J15" s="3"/>
      <c r="K15" s="3"/>
      <c r="L15" s="99"/>
      <c r="M15" s="111"/>
    </row>
    <row r="16" spans="1:13" ht="49.5" customHeight="1" x14ac:dyDescent="0.25">
      <c r="A16" s="317" t="s">
        <v>9</v>
      </c>
      <c r="B16" s="259"/>
      <c r="C16" s="259"/>
      <c r="D16" s="318" t="s">
        <v>68</v>
      </c>
      <c r="E16" s="318"/>
      <c r="F16" s="318"/>
      <c r="G16" s="318"/>
      <c r="H16" s="318"/>
      <c r="I16" s="318"/>
      <c r="J16" s="318"/>
      <c r="K16" s="318"/>
      <c r="L16" s="319"/>
      <c r="M16" s="116" t="s">
        <v>73</v>
      </c>
    </row>
    <row r="17" spans="1:33" ht="12" customHeight="1" x14ac:dyDescent="0.3">
      <c r="A17" s="98"/>
      <c r="B17" s="4"/>
      <c r="C17" s="4"/>
      <c r="D17" s="3"/>
      <c r="E17" s="3"/>
      <c r="F17" s="3"/>
      <c r="G17" s="3"/>
      <c r="H17" s="3"/>
      <c r="I17" s="3"/>
      <c r="J17" s="3"/>
      <c r="K17" s="3"/>
      <c r="L17" s="99"/>
      <c r="M17" s="267" t="s">
        <v>114</v>
      </c>
    </row>
    <row r="18" spans="1:33" ht="18.75" customHeight="1" x14ac:dyDescent="0.3">
      <c r="A18" s="314" t="s">
        <v>10</v>
      </c>
      <c r="B18" s="258"/>
      <c r="C18" s="258"/>
      <c r="D18" s="112" t="s">
        <v>125</v>
      </c>
      <c r="E18" s="261" t="str">
        <f>IF(D18="ano","typ","Dopravní prostředek")</f>
        <v>Dopravní prostředek</v>
      </c>
      <c r="F18" s="261"/>
      <c r="G18" s="320" t="s">
        <v>69</v>
      </c>
      <c r="H18" s="320"/>
      <c r="I18" s="320"/>
      <c r="J18" s="9" t="str">
        <f>IF(D18="ano","SPZ","")</f>
        <v/>
      </c>
      <c r="K18" s="315" t="s">
        <v>70</v>
      </c>
      <c r="L18" s="321"/>
      <c r="M18" s="267"/>
      <c r="N18" s="11"/>
    </row>
    <row r="19" spans="1:33" ht="21" customHeight="1" x14ac:dyDescent="0.3">
      <c r="A19" s="100"/>
      <c r="B19" s="3"/>
      <c r="C19" s="3"/>
      <c r="D19" s="3"/>
      <c r="E19" s="261"/>
      <c r="F19" s="261"/>
      <c r="G19" s="320"/>
      <c r="H19" s="320"/>
      <c r="I19" s="320"/>
      <c r="J19" s="9" t="s">
        <v>81</v>
      </c>
      <c r="K19" s="199" t="s">
        <v>83</v>
      </c>
      <c r="L19" s="199"/>
      <c r="M19" s="267"/>
    </row>
    <row r="20" spans="1:33" ht="14.25" customHeight="1" x14ac:dyDescent="0.3">
      <c r="A20" s="100"/>
      <c r="B20" s="3"/>
      <c r="C20" s="12"/>
      <c r="D20" s="3"/>
      <c r="E20" s="3"/>
      <c r="F20" s="61"/>
      <c r="G20" s="3"/>
      <c r="J20" s="3"/>
      <c r="K20" s="3"/>
      <c r="L20" s="99"/>
      <c r="M20" s="267"/>
      <c r="O20" s="14"/>
    </row>
    <row r="21" spans="1:33" ht="5.25" customHeight="1" x14ac:dyDescent="0.3">
      <c r="A21" s="100"/>
      <c r="B21" s="3"/>
      <c r="C21" s="3"/>
      <c r="D21" s="3"/>
      <c r="E21" s="3"/>
      <c r="F21" s="3"/>
      <c r="G21" s="3"/>
      <c r="H21" s="3"/>
      <c r="I21" s="3"/>
      <c r="J21" s="3"/>
      <c r="K21" s="3"/>
      <c r="L21" s="99"/>
      <c r="M21" s="111"/>
    </row>
    <row r="22" spans="1:33" ht="12.75" customHeight="1" x14ac:dyDescent="0.3">
      <c r="A22" s="100"/>
      <c r="C22" s="3"/>
      <c r="D22" s="3"/>
      <c r="E22" s="3"/>
      <c r="F22" s="3"/>
      <c r="G22" s="3"/>
      <c r="H22" s="3"/>
      <c r="J22" s="3"/>
      <c r="K22" s="3"/>
      <c r="L22" s="99"/>
      <c r="M22" s="267" t="s">
        <v>116</v>
      </c>
    </row>
    <row r="23" spans="1:33" ht="12.75" customHeight="1" x14ac:dyDescent="0.25">
      <c r="A23" s="101"/>
      <c r="B23" s="254" t="s">
        <v>12</v>
      </c>
      <c r="C23" s="254"/>
      <c r="D23" s="254"/>
      <c r="E23" s="254"/>
      <c r="F23" s="254"/>
      <c r="G23" s="16"/>
      <c r="H23" s="16"/>
      <c r="I23" s="254" t="str">
        <f>IF(I24="","","…………………………..………….…………………………")</f>
        <v/>
      </c>
      <c r="J23" s="254"/>
      <c r="K23" s="254"/>
      <c r="L23" s="309"/>
      <c r="M23" s="267"/>
    </row>
    <row r="24" spans="1:33" ht="12.75" customHeight="1" x14ac:dyDescent="0.25">
      <c r="A24" s="101"/>
      <c r="B24" s="15" t="s">
        <v>11</v>
      </c>
      <c r="G24" s="16"/>
      <c r="H24" s="16"/>
      <c r="I24" s="255" t="str">
        <f>IF(J7="ano","Datum a podpis vedoucího pracovníka:","")</f>
        <v/>
      </c>
      <c r="J24" s="255"/>
      <c r="K24" s="255"/>
      <c r="L24" s="310"/>
      <c r="M24" s="267"/>
    </row>
    <row r="25" spans="1:33" ht="12.75" customHeight="1" x14ac:dyDescent="0.3">
      <c r="A25" s="102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03"/>
      <c r="M25" s="267"/>
    </row>
    <row r="26" spans="1:33" ht="7.5" customHeight="1" x14ac:dyDescent="0.25">
      <c r="A26" s="22"/>
      <c r="L26" s="23"/>
      <c r="M26" s="267"/>
    </row>
    <row r="27" spans="1:33" ht="15.6" x14ac:dyDescent="0.3">
      <c r="A27" s="22"/>
      <c r="B27" s="10" t="s">
        <v>13</v>
      </c>
      <c r="M27" s="184"/>
    </row>
    <row r="28" spans="1:33" ht="10.5" customHeight="1" thickBot="1" x14ac:dyDescent="0.3">
      <c r="A28" s="22"/>
      <c r="M28" s="289"/>
    </row>
    <row r="29" spans="1:33" ht="16.5" customHeight="1" thickBot="1" x14ac:dyDescent="0.3">
      <c r="A29" s="22"/>
      <c r="L29" s="23"/>
      <c r="M29" s="290"/>
      <c r="T29" s="54" t="s">
        <v>46</v>
      </c>
      <c r="U29" s="55">
        <f>IF(C42="",E41,IF(C44="",E43,IF(C46="",F45,IF(C48="",F47,IF(C50="",F49,IF(C52="",F51,IF(C54="",F53,E55)))))))</f>
        <v>0</v>
      </c>
      <c r="Y29" s="76" t="s">
        <v>51</v>
      </c>
      <c r="Z29" s="77">
        <v>0.99998842592592585</v>
      </c>
      <c r="AA29" s="77">
        <v>1.1574074074074073E-5</v>
      </c>
      <c r="AB29" s="78">
        <f>Z29+AA29</f>
        <v>0.99999999999999989</v>
      </c>
    </row>
    <row r="30" spans="1:33" ht="16.5" customHeight="1" thickBot="1" x14ac:dyDescent="0.3">
      <c r="A30" s="22" t="s">
        <v>14</v>
      </c>
      <c r="D30" s="254" t="s">
        <v>15</v>
      </c>
      <c r="E30" s="254"/>
      <c r="F30" s="254"/>
      <c r="G30" s="254"/>
      <c r="I30" s="254" t="str">
        <f>IF(I31="","","…………………………………………………...…………….")</f>
        <v/>
      </c>
      <c r="J30" s="254"/>
      <c r="K30" s="254"/>
      <c r="L30" s="309"/>
      <c r="M30" s="267" t="s">
        <v>117</v>
      </c>
      <c r="T30" t="s">
        <v>18</v>
      </c>
      <c r="U30">
        <v>2012</v>
      </c>
      <c r="Y30" s="22">
        <v>5</v>
      </c>
      <c r="Z30" s="23">
        <v>0.20833333333333334</v>
      </c>
      <c r="AA30" s="35" t="s">
        <v>29</v>
      </c>
      <c r="AB30" s="36" t="s">
        <v>30</v>
      </c>
      <c r="AC30" s="21" t="s">
        <v>31</v>
      </c>
    </row>
    <row r="31" spans="1:33" ht="16.5" customHeight="1" thickBot="1" x14ac:dyDescent="0.3">
      <c r="A31" s="22"/>
      <c r="D31" s="255" t="s">
        <v>16</v>
      </c>
      <c r="E31" s="255"/>
      <c r="F31" s="255"/>
      <c r="G31" s="255"/>
      <c r="H31" s="15"/>
      <c r="I31" s="255" t="str">
        <f>IF(J7="ano","Datum a podpis nadřízeného pracovníka","")</f>
        <v/>
      </c>
      <c r="J31" s="255"/>
      <c r="K31" s="255"/>
      <c r="L31" s="310"/>
      <c r="M31" s="267"/>
      <c r="T31" s="19" t="s">
        <v>49</v>
      </c>
      <c r="U31" s="21">
        <v>34.700000000000003</v>
      </c>
      <c r="Y31" s="22">
        <v>12</v>
      </c>
      <c r="Z31" s="23">
        <v>0.5</v>
      </c>
      <c r="AA31" s="40">
        <v>64</v>
      </c>
      <c r="AB31" s="41">
        <v>96</v>
      </c>
      <c r="AC31" s="42">
        <v>151</v>
      </c>
    </row>
    <row r="32" spans="1:33" ht="16.2" thickBot="1" x14ac:dyDescent="0.3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111"/>
      <c r="T32" s="40" t="s">
        <v>50</v>
      </c>
      <c r="U32" s="42">
        <v>34.9</v>
      </c>
      <c r="Y32" s="22">
        <v>18</v>
      </c>
      <c r="Z32" s="23">
        <v>0.75</v>
      </c>
      <c r="AB32">
        <f>H13-F13</f>
        <v>11</v>
      </c>
      <c r="AG32" s="114" t="s">
        <v>82</v>
      </c>
    </row>
    <row r="33" spans="1:33" ht="13.5" customHeight="1" thickBot="1" x14ac:dyDescent="0.3">
      <c r="A33" s="22"/>
      <c r="L33" s="23"/>
      <c r="M33" s="267" t="s">
        <v>118</v>
      </c>
      <c r="U33" t="s">
        <v>17</v>
      </c>
      <c r="Y33" s="40">
        <v>24</v>
      </c>
      <c r="Z33" s="79">
        <f>AB29</f>
        <v>0.99999999999999989</v>
      </c>
      <c r="AA33" s="80" t="s">
        <v>39</v>
      </c>
      <c r="AB33" s="80" t="s">
        <v>52</v>
      </c>
      <c r="AC33" s="80" t="s">
        <v>54</v>
      </c>
      <c r="AD33" s="80" t="s">
        <v>53</v>
      </c>
      <c r="AE33" s="80" t="s">
        <v>55</v>
      </c>
      <c r="AG33" s="115" t="s">
        <v>83</v>
      </c>
    </row>
    <row r="34" spans="1:33" ht="16.5" customHeight="1" thickBot="1" x14ac:dyDescent="0.3">
      <c r="A34" s="22"/>
      <c r="B34" s="324" t="str">
        <f>IF(D18="ano","Cena Phm/l v Kč","")</f>
        <v/>
      </c>
      <c r="C34" s="325"/>
      <c r="D34" s="326" t="str">
        <f>IF(D18="ano",IF(C35="","Nemám doklad",""),"")</f>
        <v/>
      </c>
      <c r="E34" s="247" t="str">
        <f>IF(D34="","","Druh Phm")</f>
        <v/>
      </c>
      <c r="F34" s="248"/>
      <c r="I34" t="str">
        <f>IF(D18="ano","Spotřeba dle TP","")</f>
        <v/>
      </c>
      <c r="L34" s="23"/>
      <c r="M34" s="267"/>
      <c r="U34">
        <f>IF(J7="ano",IF(D18="ano",1,0),0)</f>
        <v>0</v>
      </c>
      <c r="Y34" s="19"/>
      <c r="Z34" s="21"/>
      <c r="AA34" s="81">
        <f>A40</f>
        <v>41094</v>
      </c>
      <c r="AB34" s="19">
        <f>IF(Z35=0,D40-D41,AB29-D40)</f>
        <v>0.58333333333333326</v>
      </c>
      <c r="AC34" s="20">
        <f t="shared" ref="AC34:AC41" si="0">IF($A$56="",0,IF(B57="ne",1,0))</f>
        <v>0</v>
      </c>
      <c r="AD34" s="21">
        <f t="shared" ref="AD34:AD55" si="1">IF(AB34&lt;$Z$30,0,IF(AND(AB34&lt;$Z$31,AB34&gt;=$Z$30),$AA$31,IF(AND(AB34&gt;=$Z$31,AB34&lt;$Z$32),$AB$31,$AC$31)))</f>
        <v>96</v>
      </c>
      <c r="AE34" s="44">
        <f>AC34*AD34</f>
        <v>0</v>
      </c>
      <c r="AG34" s="115" t="s">
        <v>84</v>
      </c>
    </row>
    <row r="35" spans="1:33" ht="15" customHeight="1" thickBot="1" x14ac:dyDescent="0.3">
      <c r="A35" s="22"/>
      <c r="C35" s="113">
        <v>29.35</v>
      </c>
      <c r="D35" s="326"/>
      <c r="E35" s="306"/>
      <c r="F35" s="307"/>
      <c r="I35" s="25">
        <v>1</v>
      </c>
      <c r="J35" s="26">
        <v>2</v>
      </c>
      <c r="K35" s="27">
        <v>3</v>
      </c>
      <c r="L35" s="23"/>
      <c r="M35" s="267"/>
      <c r="U35" t="s">
        <v>57</v>
      </c>
      <c r="W35" t="s">
        <v>19</v>
      </c>
      <c r="Y35" s="22">
        <v>1</v>
      </c>
      <c r="Z35" s="23" t="str">
        <f>IF($AB$32&gt;=1,"x",0)</f>
        <v>x</v>
      </c>
      <c r="AA35" s="82">
        <f t="shared" ref="AA35:AA55" si="2">IF(Z35="x",$AA$34+Y35,"")</f>
        <v>41095</v>
      </c>
      <c r="AB35" s="22">
        <f t="shared" ref="AB35:AB54" si="3">IF(Z35="x",IF(Z36=0,$B$44,1),0)</f>
        <v>1</v>
      </c>
      <c r="AC35">
        <f t="shared" si="0"/>
        <v>0</v>
      </c>
      <c r="AD35" s="23">
        <f t="shared" si="1"/>
        <v>151</v>
      </c>
      <c r="AE35" s="46">
        <f t="shared" ref="AE35:AE55" si="4">AC35*AD35</f>
        <v>0</v>
      </c>
      <c r="AG35" s="115" t="s">
        <v>85</v>
      </c>
    </row>
    <row r="36" spans="1:33" ht="16.5" customHeight="1" thickBot="1" x14ac:dyDescent="0.3">
      <c r="A36" s="22"/>
      <c r="I36" s="62">
        <v>7</v>
      </c>
      <c r="J36" s="63">
        <v>8</v>
      </c>
      <c r="K36" s="64">
        <v>9</v>
      </c>
      <c r="L36" s="89">
        <f>(I36+J36+K36)/3</f>
        <v>8</v>
      </c>
      <c r="M36" s="267"/>
      <c r="W36">
        <f>L36/100*IF(C35="",IF(E35="nafta",U31,IF(E35="natural 95",U32,0)),C35)</f>
        <v>2.3480000000000003</v>
      </c>
      <c r="Y36" s="22">
        <v>2</v>
      </c>
      <c r="Z36" s="23" t="str">
        <f>IF($AB$32&gt;=2,"x",0)</f>
        <v>x</v>
      </c>
      <c r="AA36" s="82">
        <f t="shared" si="2"/>
        <v>41096</v>
      </c>
      <c r="AB36" s="22">
        <f t="shared" si="3"/>
        <v>1</v>
      </c>
      <c r="AC36">
        <f t="shared" si="0"/>
        <v>0</v>
      </c>
      <c r="AD36" s="23">
        <f t="shared" si="1"/>
        <v>151</v>
      </c>
      <c r="AE36" s="46">
        <f t="shared" si="4"/>
        <v>0</v>
      </c>
      <c r="AG36" s="115" t="s">
        <v>86</v>
      </c>
    </row>
    <row r="37" spans="1:33" ht="16.5" customHeight="1" thickBot="1" x14ac:dyDescent="0.3">
      <c r="A37" s="308" t="s">
        <v>20</v>
      </c>
      <c r="B37" s="251"/>
      <c r="L37" s="23"/>
      <c r="M37" s="267"/>
      <c r="Y37" s="22">
        <v>3</v>
      </c>
      <c r="Z37" s="23" t="str">
        <f>IF($AB$32&gt;=3,"x",0)</f>
        <v>x</v>
      </c>
      <c r="AA37" s="82">
        <f t="shared" si="2"/>
        <v>41097</v>
      </c>
      <c r="AB37" s="22">
        <f t="shared" si="3"/>
        <v>1</v>
      </c>
      <c r="AC37">
        <f>IF($A$56="",0,IF(#REF!="ne",1,0))</f>
        <v>0</v>
      </c>
      <c r="AD37" s="23">
        <f t="shared" si="1"/>
        <v>151</v>
      </c>
      <c r="AE37" s="46">
        <f t="shared" si="4"/>
        <v>0</v>
      </c>
      <c r="AG37" s="115" t="s">
        <v>87</v>
      </c>
    </row>
    <row r="38" spans="1:33" ht="12.75" customHeight="1" thickBot="1" x14ac:dyDescent="0.3">
      <c r="A38" s="285" t="s">
        <v>38</v>
      </c>
      <c r="B38" s="229"/>
      <c r="C38" s="31" t="s">
        <v>21</v>
      </c>
      <c r="D38" s="65" t="s">
        <v>22</v>
      </c>
      <c r="E38" s="252" t="s">
        <v>23</v>
      </c>
      <c r="F38" s="253"/>
      <c r="G38" s="230" t="str">
        <f>IF(D18="ano","Ujeté Km","")</f>
        <v/>
      </c>
      <c r="H38" s="232" t="s">
        <v>36</v>
      </c>
      <c r="I38" s="32" t="s">
        <v>24</v>
      </c>
      <c r="J38" s="311" t="s">
        <v>17</v>
      </c>
      <c r="K38" s="34" t="s">
        <v>25</v>
      </c>
      <c r="L38" s="234" t="s">
        <v>26</v>
      </c>
      <c r="M38" s="267"/>
      <c r="T38" s="19" t="s">
        <v>27</v>
      </c>
      <c r="U38" s="20" t="s">
        <v>28</v>
      </c>
      <c r="V38" s="33" t="s">
        <v>36</v>
      </c>
      <c r="W38" s="84" t="s">
        <v>37</v>
      </c>
      <c r="Y38" s="22">
        <v>4</v>
      </c>
      <c r="Z38" s="23" t="str">
        <f>IF($AB$32&gt;=4,"x",0)</f>
        <v>x</v>
      </c>
      <c r="AA38" s="82">
        <f t="shared" si="2"/>
        <v>41098</v>
      </c>
      <c r="AB38" s="22">
        <f t="shared" si="3"/>
        <v>1</v>
      </c>
      <c r="AC38">
        <f t="shared" si="0"/>
        <v>0</v>
      </c>
      <c r="AD38" s="23">
        <f t="shared" si="1"/>
        <v>151</v>
      </c>
      <c r="AE38" s="46">
        <f t="shared" si="4"/>
        <v>0</v>
      </c>
      <c r="AG38" s="114" t="s">
        <v>88</v>
      </c>
    </row>
    <row r="39" spans="1:33" ht="15" customHeight="1" thickBot="1" x14ac:dyDescent="0.3">
      <c r="A39" s="22" t="s">
        <v>39</v>
      </c>
      <c r="B39" t="s">
        <v>40</v>
      </c>
      <c r="C39" s="37"/>
      <c r="D39" s="66" t="s">
        <v>32</v>
      </c>
      <c r="E39" s="236" t="s">
        <v>33</v>
      </c>
      <c r="F39" s="237"/>
      <c r="G39" s="231"/>
      <c r="H39" s="233"/>
      <c r="I39" s="38" t="s">
        <v>34</v>
      </c>
      <c r="J39" s="312"/>
      <c r="K39" s="39" t="s">
        <v>35</v>
      </c>
      <c r="L39" s="235"/>
      <c r="M39" s="267"/>
      <c r="T39" s="22"/>
      <c r="U39" s="44">
        <f>IF(D18="ano",IF(J7="NE",T40,3.7),0)</f>
        <v>0</v>
      </c>
      <c r="V39" s="20">
        <f>IF(G38="",H40,0)</f>
        <v>0</v>
      </c>
      <c r="W39" s="21">
        <f>IF(H38="",ROUND(G40*(U39+W36),2),0)</f>
        <v>0</v>
      </c>
      <c r="Y39" s="22">
        <v>5</v>
      </c>
      <c r="Z39" s="23" t="str">
        <f>IF($AB$32&gt;=5,"x",0)</f>
        <v>x</v>
      </c>
      <c r="AA39" s="82">
        <f t="shared" si="2"/>
        <v>41099</v>
      </c>
      <c r="AB39" s="22">
        <f t="shared" si="3"/>
        <v>1</v>
      </c>
      <c r="AC39">
        <f t="shared" si="0"/>
        <v>0</v>
      </c>
      <c r="AD39" s="23">
        <f t="shared" si="1"/>
        <v>151</v>
      </c>
      <c r="AE39" s="46">
        <f t="shared" si="4"/>
        <v>0</v>
      </c>
    </row>
    <row r="40" spans="1:33" ht="16.5" customHeight="1" thickBot="1" x14ac:dyDescent="0.3">
      <c r="A40" s="47">
        <f>F13</f>
        <v>41094</v>
      </c>
      <c r="B40" s="49">
        <f>IF(D40="","",D40)</f>
        <v>0.41666666666666669</v>
      </c>
      <c r="C40" s="291">
        <v>41094</v>
      </c>
      <c r="D40" s="67">
        <v>0.41666666666666669</v>
      </c>
      <c r="E40" s="292" t="s">
        <v>74</v>
      </c>
      <c r="F40" s="293"/>
      <c r="G40" s="294">
        <v>366</v>
      </c>
      <c r="H40" s="295"/>
      <c r="I40" s="294"/>
      <c r="J40" s="294">
        <v>0</v>
      </c>
      <c r="K40" s="296"/>
      <c r="L40" s="297" t="str">
        <f>IF(C40="","",IF(U57=0,"",U57))</f>
        <v/>
      </c>
      <c r="M40" s="267"/>
      <c r="T40" s="22" t="str">
        <f>IF(J40=1,1,IF(J40=2,2,IF(J40=3,3,IF(J40&gt;=3,3,""))))</f>
        <v/>
      </c>
      <c r="U40" s="46"/>
      <c r="W40" s="23"/>
      <c r="Y40" s="22">
        <v>6</v>
      </c>
      <c r="Z40" s="23" t="str">
        <f>IF($AB$32&gt;=6,"x",0)</f>
        <v>x</v>
      </c>
      <c r="AA40" s="82">
        <f t="shared" si="2"/>
        <v>41100</v>
      </c>
      <c r="AB40" s="22">
        <f t="shared" si="3"/>
        <v>1</v>
      </c>
      <c r="AC40">
        <f t="shared" si="0"/>
        <v>0</v>
      </c>
      <c r="AD40" s="23">
        <f t="shared" si="1"/>
        <v>151</v>
      </c>
      <c r="AE40" s="46">
        <f t="shared" si="4"/>
        <v>0</v>
      </c>
    </row>
    <row r="41" spans="1:33" ht="15.75" customHeight="1" x14ac:dyDescent="0.3">
      <c r="A41" s="22"/>
      <c r="C41" s="274"/>
      <c r="D41" s="68"/>
      <c r="E41" s="275" t="s">
        <v>67</v>
      </c>
      <c r="F41" s="276"/>
      <c r="G41" s="278"/>
      <c r="H41" s="280"/>
      <c r="I41" s="278"/>
      <c r="J41" s="278"/>
      <c r="K41" s="282"/>
      <c r="L41" s="284"/>
      <c r="M41" s="111"/>
      <c r="T41" s="22"/>
      <c r="U41" s="46">
        <f>IF(D18="ano",IF(J7="NE",T42,3.7),0)</f>
        <v>0</v>
      </c>
      <c r="V41">
        <f>IF(G38="",H42,0)</f>
        <v>258</v>
      </c>
      <c r="W41" s="23">
        <f>IF(G38="",0,IF(G42="",0,ROUND(G42*(U41+W36),2)))</f>
        <v>0</v>
      </c>
      <c r="Y41" s="22">
        <v>7</v>
      </c>
      <c r="Z41" s="23" t="str">
        <f>IF($AB$32&gt;=7,"x",0)</f>
        <v>x</v>
      </c>
      <c r="AA41" s="82">
        <f t="shared" si="2"/>
        <v>41101</v>
      </c>
      <c r="AB41" s="22">
        <f t="shared" si="3"/>
        <v>1</v>
      </c>
      <c r="AC41">
        <f t="shared" si="0"/>
        <v>0</v>
      </c>
      <c r="AD41" s="23">
        <f t="shared" si="1"/>
        <v>151</v>
      </c>
      <c r="AE41" s="46">
        <f t="shared" si="4"/>
        <v>0</v>
      </c>
    </row>
    <row r="42" spans="1:33" ht="15.75" customHeight="1" x14ac:dyDescent="0.3">
      <c r="A42" s="285" t="s">
        <v>41</v>
      </c>
      <c r="B42" s="229"/>
      <c r="C42" s="273">
        <v>41103</v>
      </c>
      <c r="D42" s="69"/>
      <c r="E42" s="275" t="s">
        <v>67</v>
      </c>
      <c r="F42" s="276"/>
      <c r="G42" s="277">
        <v>214</v>
      </c>
      <c r="H42" s="279">
        <v>258</v>
      </c>
      <c r="I42" s="277"/>
      <c r="J42" s="277">
        <v>1</v>
      </c>
      <c r="K42" s="281"/>
      <c r="L42" s="283">
        <f>IF(C42="","",IF(U58=0,"",U58))</f>
        <v>258</v>
      </c>
      <c r="M42" s="111"/>
      <c r="T42" s="22">
        <f>IF(J42=1,1,IF(J42=2,2,IF(J42=3,3,IF(J42&gt;=3,3,""))))</f>
        <v>1</v>
      </c>
      <c r="U42" s="46"/>
      <c r="W42" s="23"/>
      <c r="Y42" s="22">
        <v>8</v>
      </c>
      <c r="Z42" s="23" t="str">
        <f>IF($AB$32&gt;=8,"x",0)</f>
        <v>x</v>
      </c>
      <c r="AA42" s="82">
        <f t="shared" si="2"/>
        <v>41102</v>
      </c>
      <c r="AB42" s="22">
        <f t="shared" si="3"/>
        <v>1</v>
      </c>
      <c r="AC42">
        <f>IF($A$56="",0,IF(#REF!="ne",1,0))</f>
        <v>0</v>
      </c>
      <c r="AD42" s="23">
        <f t="shared" si="1"/>
        <v>151</v>
      </c>
      <c r="AE42" s="46">
        <f t="shared" si="4"/>
        <v>0</v>
      </c>
    </row>
    <row r="43" spans="1:33" ht="16.5" customHeight="1" thickBot="1" x14ac:dyDescent="0.35">
      <c r="A43" s="22" t="s">
        <v>39</v>
      </c>
      <c r="B43" t="s">
        <v>40</v>
      </c>
      <c r="C43" s="274"/>
      <c r="D43" s="69"/>
      <c r="E43" s="275" t="s">
        <v>75</v>
      </c>
      <c r="F43" s="276"/>
      <c r="G43" s="278"/>
      <c r="H43" s="280"/>
      <c r="I43" s="278"/>
      <c r="J43" s="278"/>
      <c r="K43" s="282"/>
      <c r="L43" s="284"/>
      <c r="M43" s="111"/>
      <c r="T43" s="22"/>
      <c r="U43" s="46">
        <f>IF(D18="ano",IF(J7="NE",T44,3.7),0)</f>
        <v>0</v>
      </c>
      <c r="V43">
        <f>IF(G38="",H44,0)</f>
        <v>0</v>
      </c>
      <c r="W43" s="23">
        <f>IF(G38="",0,IF(G44="",0,ROUND(G44*(U43+W36),2)))</f>
        <v>0</v>
      </c>
      <c r="Y43" s="22">
        <v>9</v>
      </c>
      <c r="Z43" s="23" t="str">
        <f>IF($AB$32&gt;=9,"x",0)</f>
        <v>x</v>
      </c>
      <c r="AA43" s="82">
        <f t="shared" si="2"/>
        <v>41103</v>
      </c>
      <c r="AB43" s="22">
        <f t="shared" si="3"/>
        <v>1</v>
      </c>
      <c r="AC43">
        <f>IF($A$56="",0,IF(#REF!="ne",1,0))</f>
        <v>0</v>
      </c>
      <c r="AD43" s="23">
        <f t="shared" si="1"/>
        <v>151</v>
      </c>
      <c r="AE43" s="46">
        <f t="shared" si="4"/>
        <v>0</v>
      </c>
    </row>
    <row r="44" spans="1:33" ht="13.5" customHeight="1" thickBot="1" x14ac:dyDescent="0.3">
      <c r="A44" s="47">
        <f>H13</f>
        <v>41105</v>
      </c>
      <c r="B44" s="49">
        <f>IF(C42="",D41,IF(C44="",D43,IF(C46="",D45,IF(C48="",D47,IF(C50="",D49,IF(C52="",D51,IF(C54="",D53,D55)))))))</f>
        <v>0.625</v>
      </c>
      <c r="C44" s="273">
        <v>41103</v>
      </c>
      <c r="D44" s="69"/>
      <c r="E44" s="275" t="s">
        <v>75</v>
      </c>
      <c r="F44" s="276"/>
      <c r="G44" s="277">
        <v>214</v>
      </c>
      <c r="H44" s="279"/>
      <c r="I44" s="277"/>
      <c r="J44" s="277">
        <v>1</v>
      </c>
      <c r="K44" s="281"/>
      <c r="L44" s="283" t="str">
        <f>IF(C44="","",IF(U59=0,"",U59))</f>
        <v/>
      </c>
      <c r="M44" s="267" t="s">
        <v>119</v>
      </c>
      <c r="T44" s="22">
        <f>IF(J44=1,1,IF(J44=2,2,IF(J44=3,3,IF(J44&gt;=3,3,""))))</f>
        <v>1</v>
      </c>
      <c r="U44" s="46"/>
      <c r="W44" s="23"/>
      <c r="Y44" s="22">
        <v>10</v>
      </c>
      <c r="Z44" s="23" t="str">
        <f>IF($AB$32&gt;=10,"x",0)</f>
        <v>x</v>
      </c>
      <c r="AA44" s="82">
        <f t="shared" si="2"/>
        <v>41104</v>
      </c>
      <c r="AB44" s="22">
        <f t="shared" si="3"/>
        <v>1</v>
      </c>
      <c r="AC44">
        <f>IF($A$56="",0,IF(E57="ne",1,0))</f>
        <v>0</v>
      </c>
      <c r="AD44" s="23">
        <f t="shared" si="1"/>
        <v>151</v>
      </c>
      <c r="AE44" s="46">
        <f t="shared" si="4"/>
        <v>0</v>
      </c>
    </row>
    <row r="45" spans="1:33" ht="12.75" customHeight="1" x14ac:dyDescent="0.25">
      <c r="A45" s="22"/>
      <c r="C45" s="274"/>
      <c r="D45" s="69"/>
      <c r="E45" s="275" t="s">
        <v>67</v>
      </c>
      <c r="F45" s="276"/>
      <c r="G45" s="278"/>
      <c r="H45" s="280"/>
      <c r="I45" s="278"/>
      <c r="J45" s="278"/>
      <c r="K45" s="282"/>
      <c r="L45" s="284"/>
      <c r="M45" s="267"/>
      <c r="T45" s="22"/>
      <c r="U45" s="46">
        <f>IF(D18="ano",IF(J7="NE",T46,3.7),0)</f>
        <v>0</v>
      </c>
      <c r="V45">
        <f>IF(G38="",H46,0)</f>
        <v>0</v>
      </c>
      <c r="W45" s="23">
        <f>IF(G38="",0,IF(G46="",0,ROUND(G46*(U45+W36),2)))</f>
        <v>0</v>
      </c>
      <c r="Y45" s="22">
        <v>11</v>
      </c>
      <c r="Z45" s="23" t="str">
        <f>IF($AB$32&gt;=11,"x",0)</f>
        <v>x</v>
      </c>
      <c r="AA45" s="82">
        <f t="shared" si="2"/>
        <v>41105</v>
      </c>
      <c r="AB45" s="22">
        <f t="shared" si="3"/>
        <v>0.625</v>
      </c>
      <c r="AC45">
        <f t="shared" ref="AC45:AC55" si="5">IF($A$56="",0,IF(E58="ne",1,0))</f>
        <v>0</v>
      </c>
      <c r="AD45" s="23">
        <f t="shared" si="1"/>
        <v>96</v>
      </c>
      <c r="AE45" s="46">
        <f t="shared" si="4"/>
        <v>0</v>
      </c>
    </row>
    <row r="46" spans="1:33" ht="12.75" customHeight="1" x14ac:dyDescent="0.25">
      <c r="A46" s="272" t="s">
        <v>58</v>
      </c>
      <c r="B46" s="224"/>
      <c r="C46" s="273">
        <v>41105</v>
      </c>
      <c r="D46" s="69"/>
      <c r="E46" s="275" t="s">
        <v>67</v>
      </c>
      <c r="F46" s="276"/>
      <c r="G46" s="277">
        <v>368</v>
      </c>
      <c r="H46" s="279"/>
      <c r="I46" s="277"/>
      <c r="J46" s="277">
        <v>2</v>
      </c>
      <c r="K46" s="281"/>
      <c r="L46" s="283" t="str">
        <f>IF(C46="","",IF(U60=0,"",U60))</f>
        <v/>
      </c>
      <c r="M46" s="267"/>
      <c r="T46" s="22">
        <f>IF(J46=1,1,IF(J46=2,2,IF(J46=3,3,IF(J46&gt;=3,3,""))))</f>
        <v>2</v>
      </c>
      <c r="U46" s="46"/>
      <c r="W46" s="23"/>
      <c r="Y46" s="22">
        <v>12</v>
      </c>
      <c r="Z46" s="23">
        <f>IF($AB$32&gt;=12,"x",0)</f>
        <v>0</v>
      </c>
      <c r="AA46" s="82" t="str">
        <f t="shared" si="2"/>
        <v/>
      </c>
      <c r="AB46" s="22">
        <f t="shared" si="3"/>
        <v>0</v>
      </c>
      <c r="AC46">
        <f t="shared" si="5"/>
        <v>0</v>
      </c>
      <c r="AD46" s="23">
        <f t="shared" si="1"/>
        <v>0</v>
      </c>
      <c r="AE46" s="46">
        <f t="shared" si="4"/>
        <v>0</v>
      </c>
    </row>
    <row r="47" spans="1:33" ht="12.75" customHeight="1" x14ac:dyDescent="0.25">
      <c r="A47" s="272"/>
      <c r="B47" s="224"/>
      <c r="C47" s="274"/>
      <c r="D47" s="69">
        <v>0.625</v>
      </c>
      <c r="E47" s="275" t="s">
        <v>74</v>
      </c>
      <c r="F47" s="276"/>
      <c r="G47" s="278"/>
      <c r="H47" s="280"/>
      <c r="I47" s="278"/>
      <c r="J47" s="278"/>
      <c r="K47" s="282"/>
      <c r="L47" s="284"/>
      <c r="M47" s="267"/>
      <c r="T47" s="22"/>
      <c r="U47" s="46">
        <f>IF(D18="ano",IF(J7="NE",T48,3.7),0)</f>
        <v>0</v>
      </c>
      <c r="V47">
        <f>IF(G38="",H48,0)</f>
        <v>0</v>
      </c>
      <c r="W47" s="23">
        <f>IF(G38="",0,IF(G48="",0,ROUND(G48*(U47+W36),2)))</f>
        <v>0</v>
      </c>
      <c r="Y47" s="22">
        <v>13</v>
      </c>
      <c r="Z47" s="23">
        <f>IF($AB$32&gt;=13,"x",0)</f>
        <v>0</v>
      </c>
      <c r="AA47" s="82" t="str">
        <f t="shared" si="2"/>
        <v/>
      </c>
      <c r="AB47" s="22">
        <f t="shared" si="3"/>
        <v>0</v>
      </c>
      <c r="AC47">
        <f>IF($A$56="",0,IF(#REF!="ne",1,0))</f>
        <v>0</v>
      </c>
      <c r="AD47" s="23">
        <f t="shared" si="1"/>
        <v>0</v>
      </c>
      <c r="AE47" s="46">
        <f t="shared" si="4"/>
        <v>0</v>
      </c>
    </row>
    <row r="48" spans="1:33" ht="15.75" customHeight="1" x14ac:dyDescent="0.25">
      <c r="A48" s="104">
        <f>IF(W36=0,"",W36)</f>
        <v>2.3480000000000003</v>
      </c>
      <c r="C48" s="273"/>
      <c r="D48" s="69"/>
      <c r="E48" s="275"/>
      <c r="F48" s="276"/>
      <c r="G48" s="277"/>
      <c r="H48" s="279"/>
      <c r="I48" s="277"/>
      <c r="J48" s="277"/>
      <c r="K48" s="281"/>
      <c r="L48" s="283" t="str">
        <f>IF(C48="","",IF(U61=0,"",U61))</f>
        <v/>
      </c>
      <c r="M48" s="267"/>
      <c r="T48" s="22" t="str">
        <f>IF(J48=1,1,IF(J48=2,2,IF(J48=3,3,IF(J48&gt;=3,3,""))))</f>
        <v/>
      </c>
      <c r="U48" s="46"/>
      <c r="W48" s="23"/>
      <c r="Y48" s="22">
        <v>14</v>
      </c>
      <c r="Z48" s="23">
        <f>IF($AB$32&gt;=14,"x",0)</f>
        <v>0</v>
      </c>
      <c r="AA48" s="82" t="str">
        <f t="shared" si="2"/>
        <v/>
      </c>
      <c r="AB48" s="22">
        <f t="shared" si="3"/>
        <v>0</v>
      </c>
      <c r="AC48">
        <f t="shared" si="5"/>
        <v>0</v>
      </c>
      <c r="AD48" s="23">
        <f t="shared" si="1"/>
        <v>0</v>
      </c>
      <c r="AE48" s="46">
        <f t="shared" si="4"/>
        <v>0</v>
      </c>
    </row>
    <row r="49" spans="1:31" ht="15.75" customHeight="1" x14ac:dyDescent="0.25">
      <c r="A49" s="22"/>
      <c r="C49" s="274"/>
      <c r="D49" s="69"/>
      <c r="E49" s="275"/>
      <c r="F49" s="276"/>
      <c r="G49" s="278"/>
      <c r="H49" s="280"/>
      <c r="I49" s="278"/>
      <c r="J49" s="278"/>
      <c r="K49" s="282"/>
      <c r="L49" s="284"/>
      <c r="M49" s="267"/>
      <c r="T49" s="22"/>
      <c r="U49" s="46">
        <f>IF(D18="ano",IF(J7="NE",T50,3.7),0)</f>
        <v>0</v>
      </c>
      <c r="V49">
        <f>IF(G38="",H50,0)</f>
        <v>0</v>
      </c>
      <c r="W49" s="23">
        <f>IF(G38="",0,IF(G50="",0,ROUND(G50*(U49+W36),2)))</f>
        <v>0</v>
      </c>
      <c r="Y49" s="22">
        <v>15</v>
      </c>
      <c r="Z49" s="23">
        <f>IF($AB$32&gt;=15,"x",0)</f>
        <v>0</v>
      </c>
      <c r="AA49" s="82" t="str">
        <f t="shared" si="2"/>
        <v/>
      </c>
      <c r="AB49" s="22">
        <f t="shared" si="3"/>
        <v>0</v>
      </c>
      <c r="AC49">
        <f t="shared" si="5"/>
        <v>0</v>
      </c>
      <c r="AD49" s="23">
        <f t="shared" si="1"/>
        <v>0</v>
      </c>
      <c r="AE49" s="46">
        <f t="shared" si="4"/>
        <v>0</v>
      </c>
    </row>
    <row r="50" spans="1:31" ht="15.6" x14ac:dyDescent="0.3">
      <c r="A50" s="22"/>
      <c r="C50" s="273"/>
      <c r="D50" s="69"/>
      <c r="E50" s="275"/>
      <c r="F50" s="276"/>
      <c r="G50" s="277"/>
      <c r="H50" s="279"/>
      <c r="I50" s="277"/>
      <c r="J50" s="277"/>
      <c r="K50" s="281"/>
      <c r="L50" s="283" t="str">
        <f>IF(C50="","",IF(U62=0,"",U62))</f>
        <v/>
      </c>
      <c r="M50" s="111"/>
      <c r="T50" s="22" t="str">
        <f>IF(J50=1,1,IF(J50=2,2,IF(J50=3,3,IF(J50&gt;=3,3,""))))</f>
        <v/>
      </c>
      <c r="U50" s="46"/>
      <c r="W50" s="23"/>
      <c r="Y50" s="22">
        <v>16</v>
      </c>
      <c r="Z50" s="23">
        <f>IF($AB$32&gt;=16,"x",0)</f>
        <v>0</v>
      </c>
      <c r="AA50" s="82" t="str">
        <f t="shared" si="2"/>
        <v/>
      </c>
      <c r="AB50" s="22">
        <f t="shared" si="3"/>
        <v>0</v>
      </c>
      <c r="AC50">
        <f t="shared" si="5"/>
        <v>0</v>
      </c>
      <c r="AD50" s="23">
        <f t="shared" si="1"/>
        <v>0</v>
      </c>
      <c r="AE50" s="46">
        <f t="shared" si="4"/>
        <v>0</v>
      </c>
    </row>
    <row r="51" spans="1:31" ht="15.6" x14ac:dyDescent="0.3">
      <c r="A51" s="22"/>
      <c r="C51" s="274"/>
      <c r="D51" s="69"/>
      <c r="E51" s="275"/>
      <c r="F51" s="276"/>
      <c r="G51" s="278"/>
      <c r="H51" s="280"/>
      <c r="I51" s="278"/>
      <c r="J51" s="278"/>
      <c r="K51" s="282"/>
      <c r="L51" s="284"/>
      <c r="M51" s="111"/>
      <c r="T51" s="22"/>
      <c r="U51" s="46">
        <f>IF(D18="ano",IF(J7="NE",T52,3.7),0)</f>
        <v>0</v>
      </c>
      <c r="V51">
        <f>IF(G38="",H52,0)</f>
        <v>0</v>
      </c>
      <c r="W51" s="23">
        <f>IF(G38="",0,IF(G52="",0,ROUND(G52*(U51+W36),2)))</f>
        <v>0</v>
      </c>
      <c r="Y51" s="22">
        <v>17</v>
      </c>
      <c r="Z51" s="23">
        <f>IF($AB$32&gt;=17,"x",0)</f>
        <v>0</v>
      </c>
      <c r="AA51" s="82" t="str">
        <f t="shared" si="2"/>
        <v/>
      </c>
      <c r="AB51" s="22">
        <f t="shared" si="3"/>
        <v>0</v>
      </c>
      <c r="AC51">
        <f t="shared" si="5"/>
        <v>0</v>
      </c>
      <c r="AD51" s="23">
        <f t="shared" si="1"/>
        <v>0</v>
      </c>
      <c r="AE51" s="46">
        <f t="shared" si="4"/>
        <v>0</v>
      </c>
    </row>
    <row r="52" spans="1:31" ht="15.6" x14ac:dyDescent="0.3">
      <c r="A52" s="22"/>
      <c r="C52" s="273"/>
      <c r="D52" s="69"/>
      <c r="E52" s="275"/>
      <c r="F52" s="276"/>
      <c r="G52" s="277"/>
      <c r="H52" s="279"/>
      <c r="I52" s="277"/>
      <c r="J52" s="277"/>
      <c r="K52" s="281"/>
      <c r="L52" s="283" t="str">
        <f>IF(C52="","",IF(U63=0,"",U63))</f>
        <v/>
      </c>
      <c r="M52" s="111"/>
      <c r="T52" s="22" t="str">
        <f>IF(J52=1,1,IF(J52=2,2,IF(J52=3,3,IF(J52&gt;=3,3,""))))</f>
        <v/>
      </c>
      <c r="U52" s="46"/>
      <c r="W52" s="23"/>
      <c r="Y52" s="22">
        <v>18</v>
      </c>
      <c r="Z52" s="23">
        <f>IF($AB$32&gt;=18,"x",0)</f>
        <v>0</v>
      </c>
      <c r="AA52" s="82" t="str">
        <f t="shared" si="2"/>
        <v/>
      </c>
      <c r="AB52" s="22">
        <f t="shared" si="3"/>
        <v>0</v>
      </c>
      <c r="AC52">
        <f t="shared" si="5"/>
        <v>0</v>
      </c>
      <c r="AD52" s="23">
        <f t="shared" si="1"/>
        <v>0</v>
      </c>
      <c r="AE52" s="46">
        <f t="shared" si="4"/>
        <v>0</v>
      </c>
    </row>
    <row r="53" spans="1:31" ht="15.6" x14ac:dyDescent="0.3">
      <c r="A53" s="22"/>
      <c r="C53" s="274"/>
      <c r="D53" s="69"/>
      <c r="E53" s="275"/>
      <c r="F53" s="276"/>
      <c r="G53" s="278"/>
      <c r="H53" s="280"/>
      <c r="I53" s="278"/>
      <c r="J53" s="278"/>
      <c r="K53" s="282"/>
      <c r="L53" s="284"/>
      <c r="M53" s="111"/>
      <c r="T53" s="22"/>
      <c r="U53" s="46">
        <f>IF(D18="ano",IF(J7="NE",T54,3.7),0)</f>
        <v>0</v>
      </c>
      <c r="V53">
        <f>IF(G38="",H54,0)</f>
        <v>0</v>
      </c>
      <c r="W53" s="23">
        <f>IF(G38="",0,IF(G54="",0,ROUND(G54*(U53+W36),2)))</f>
        <v>0</v>
      </c>
      <c r="Y53" s="22">
        <v>19</v>
      </c>
      <c r="Z53" s="23">
        <f>IF($AB$32&gt;=19,"x",0)</f>
        <v>0</v>
      </c>
      <c r="AA53" s="82" t="str">
        <f t="shared" si="2"/>
        <v/>
      </c>
      <c r="AB53" s="22">
        <f t="shared" si="3"/>
        <v>0</v>
      </c>
      <c r="AC53">
        <f t="shared" si="5"/>
        <v>0</v>
      </c>
      <c r="AD53" s="23">
        <f t="shared" si="1"/>
        <v>0</v>
      </c>
      <c r="AE53" s="46">
        <f t="shared" si="4"/>
        <v>0</v>
      </c>
    </row>
    <row r="54" spans="1:31" ht="15.6" x14ac:dyDescent="0.3">
      <c r="A54" s="22"/>
      <c r="C54" s="273"/>
      <c r="D54" s="69"/>
      <c r="E54" s="275"/>
      <c r="F54" s="276"/>
      <c r="G54" s="277"/>
      <c r="H54" s="279"/>
      <c r="I54" s="277"/>
      <c r="J54" s="277"/>
      <c r="K54" s="281"/>
      <c r="L54" s="283" t="str">
        <f>IF(C54="","",IF(U64=0,"",U64))</f>
        <v/>
      </c>
      <c r="M54" s="111"/>
      <c r="T54" s="22" t="str">
        <f>IF(J54=1,1,IF(J54=2,2,IF(J54=3,3,IF(J54&gt;=3,3,""))))</f>
        <v/>
      </c>
      <c r="U54" s="46"/>
      <c r="W54" s="23"/>
      <c r="Y54" s="22">
        <v>20</v>
      </c>
      <c r="Z54" s="23">
        <f>IF($AB$32&gt;=20,"x",0)</f>
        <v>0</v>
      </c>
      <c r="AA54" s="82" t="str">
        <f t="shared" si="2"/>
        <v/>
      </c>
      <c r="AB54" s="22">
        <f t="shared" si="3"/>
        <v>0</v>
      </c>
      <c r="AC54">
        <f t="shared" si="5"/>
        <v>0</v>
      </c>
      <c r="AD54" s="23">
        <f t="shared" si="1"/>
        <v>0</v>
      </c>
      <c r="AE54" s="46">
        <f t="shared" si="4"/>
        <v>0</v>
      </c>
    </row>
    <row r="55" spans="1:31" ht="16.2" thickBot="1" x14ac:dyDescent="0.35">
      <c r="A55" s="22"/>
      <c r="C55" s="302"/>
      <c r="D55" s="70"/>
      <c r="E55" s="286"/>
      <c r="F55" s="287"/>
      <c r="G55" s="303"/>
      <c r="H55" s="304"/>
      <c r="I55" s="303"/>
      <c r="J55" s="303"/>
      <c r="K55" s="305"/>
      <c r="L55" s="298"/>
      <c r="M55" s="111" t="s">
        <v>121</v>
      </c>
      <c r="T55" s="40"/>
      <c r="U55" s="60"/>
      <c r="V55" s="40"/>
      <c r="W55" s="42"/>
      <c r="Y55" s="40"/>
      <c r="Z55" s="42">
        <f>IF($AB$32&gt;=21,"x",0)</f>
        <v>0</v>
      </c>
      <c r="AA55" s="83" t="str">
        <f t="shared" si="2"/>
        <v/>
      </c>
      <c r="AB55" s="40">
        <f>IF(Z55="x",IF(#REF!=0,$B$44,1),0)</f>
        <v>0</v>
      </c>
      <c r="AC55">
        <f t="shared" si="5"/>
        <v>0</v>
      </c>
      <c r="AD55" s="42">
        <f t="shared" si="1"/>
        <v>0</v>
      </c>
      <c r="AE55" s="60">
        <f t="shared" si="4"/>
        <v>0</v>
      </c>
    </row>
    <row r="56" spans="1:31" ht="30" customHeight="1" thickBot="1" x14ac:dyDescent="0.3">
      <c r="A56" s="299"/>
      <c r="B56" s="299"/>
      <c r="C56" s="299"/>
      <c r="D56" s="299"/>
      <c r="E56" s="299"/>
      <c r="F56" s="299"/>
      <c r="J56" s="300" t="s">
        <v>42</v>
      </c>
      <c r="K56" s="301"/>
      <c r="L56" s="152">
        <f>U65</f>
        <v>258</v>
      </c>
      <c r="M56" s="267" t="s">
        <v>120</v>
      </c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3">
      <c r="A57" s="52"/>
      <c r="B57" s="121"/>
      <c r="C57" s="85"/>
      <c r="D57" s="52"/>
      <c r="E57" s="121"/>
      <c r="F57" s="85"/>
      <c r="I57" s="53"/>
      <c r="J57" s="191" t="s">
        <v>43</v>
      </c>
      <c r="K57" s="192"/>
      <c r="L57" s="95"/>
      <c r="M57" s="267"/>
      <c r="T57" t="s">
        <v>56</v>
      </c>
      <c r="U57">
        <f>V39+(W39*AA57)+K40+I40</f>
        <v>0</v>
      </c>
      <c r="W57">
        <f>IF(C40="",0,1)</f>
        <v>1</v>
      </c>
      <c r="X57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25">
      <c r="A58" s="52"/>
      <c r="B58" s="148"/>
      <c r="C58" s="85"/>
      <c r="D58" s="52"/>
      <c r="E58" s="121"/>
      <c r="F58" s="85"/>
      <c r="J58" s="193" t="s">
        <v>45</v>
      </c>
      <c r="K58" s="194"/>
      <c r="L58" s="197">
        <f>ROUND(L56-L57,0)</f>
        <v>258</v>
      </c>
      <c r="M58" s="147"/>
      <c r="U58" s="85">
        <f>V41+W41*AA58+K42+I42</f>
        <v>258</v>
      </c>
      <c r="W58">
        <f>IF(C42="",0,1)</f>
        <v>1</v>
      </c>
      <c r="X58">
        <f>IF(J42="",0,1)</f>
        <v>1</v>
      </c>
      <c r="AA58">
        <f t="shared" ref="AA58:AA64" si="6">W58*X58*$Y$57*$Z$57</f>
        <v>1</v>
      </c>
    </row>
    <row r="59" spans="1:31" ht="16.5" customHeight="1" thickBot="1" x14ac:dyDescent="0.3">
      <c r="A59" s="52"/>
      <c r="B59" s="148"/>
      <c r="C59" s="85"/>
      <c r="D59" s="52"/>
      <c r="E59" s="149"/>
      <c r="F59" s="85"/>
      <c r="G59" s="53"/>
      <c r="H59" s="53"/>
      <c r="I59" s="53"/>
      <c r="J59" s="195"/>
      <c r="K59" s="196"/>
      <c r="L59" s="198"/>
      <c r="M59" s="267" t="s">
        <v>122</v>
      </c>
      <c r="U59" s="85">
        <f>V43+W43*AA59+K44+I44</f>
        <v>0</v>
      </c>
      <c r="W59">
        <f>IF(C44="",0,1)</f>
        <v>1</v>
      </c>
      <c r="X59">
        <f>IF(J44="",0,1)</f>
        <v>1</v>
      </c>
      <c r="AA59">
        <f t="shared" si="6"/>
        <v>1</v>
      </c>
    </row>
    <row r="60" spans="1:31" ht="16.5" customHeight="1" thickBot="1" x14ac:dyDescent="0.3">
      <c r="A60" s="52"/>
      <c r="B60" s="188" t="s">
        <v>44</v>
      </c>
      <c r="C60" s="188"/>
      <c r="D60" s="188"/>
      <c r="E60" s="96"/>
      <c r="F60" s="85"/>
      <c r="G60" s="53"/>
      <c r="H60" s="53"/>
      <c r="I60" s="53"/>
      <c r="L60" s="23"/>
      <c r="M60" s="267"/>
      <c r="U60" s="85">
        <f>V45+W45*AA60+K46+I46</f>
        <v>0</v>
      </c>
      <c r="W60">
        <f>IF(C46="",0,1)</f>
        <v>1</v>
      </c>
      <c r="X60">
        <f>IF(J46="",0,1)</f>
        <v>1</v>
      </c>
      <c r="AA60">
        <f t="shared" si="6"/>
        <v>1</v>
      </c>
    </row>
    <row r="61" spans="1:31" ht="16.5" customHeight="1" x14ac:dyDescent="0.3">
      <c r="A61" s="52"/>
      <c r="B61" s="148"/>
      <c r="C61" s="85"/>
      <c r="D61" s="52"/>
      <c r="E61" s="149"/>
      <c r="F61" s="85"/>
      <c r="L61" s="23"/>
      <c r="M61" s="111"/>
      <c r="U61" s="85">
        <f>V47+W47*AA61+K48+I48</f>
        <v>0</v>
      </c>
      <c r="W61">
        <f>IF(C48="",0,1)</f>
        <v>0</v>
      </c>
      <c r="X61">
        <f>IF(J48="",0,1)</f>
        <v>0</v>
      </c>
      <c r="AA61">
        <f t="shared" si="6"/>
        <v>0</v>
      </c>
    </row>
    <row r="62" spans="1:31" ht="16.5" customHeight="1" x14ac:dyDescent="0.3">
      <c r="A62" s="52"/>
      <c r="B62" s="148"/>
      <c r="C62" s="85"/>
      <c r="D62" s="52"/>
      <c r="E62" s="149"/>
      <c r="F62" s="85"/>
      <c r="G62" s="53"/>
      <c r="H62" s="53"/>
      <c r="L62" s="23"/>
      <c r="M62" s="111"/>
      <c r="U62" s="85">
        <f>V49+W49*AA62+K50+I50</f>
        <v>0</v>
      </c>
      <c r="W62">
        <f>IF(C50="",0,1)</f>
        <v>0</v>
      </c>
      <c r="X62">
        <f>IF(J50="",0,1)</f>
        <v>0</v>
      </c>
      <c r="AA62">
        <f t="shared" si="6"/>
        <v>0</v>
      </c>
    </row>
    <row r="63" spans="1:31" ht="16.5" customHeight="1" x14ac:dyDescent="0.3">
      <c r="A63" s="52"/>
      <c r="B63" s="148"/>
      <c r="C63" s="85"/>
      <c r="D63" s="52"/>
      <c r="E63" s="149"/>
      <c r="F63" s="85"/>
      <c r="G63" s="268" t="s">
        <v>47</v>
      </c>
      <c r="H63" s="268"/>
      <c r="I63" s="268"/>
      <c r="J63" s="268"/>
      <c r="K63" s="268"/>
      <c r="L63" s="269"/>
      <c r="M63" s="111"/>
      <c r="U63" s="85">
        <f>V51+W51*AA63+K52+I52</f>
        <v>0</v>
      </c>
      <c r="W63">
        <f>IF(C52="",0,1)</f>
        <v>0</v>
      </c>
      <c r="X63">
        <f>IF(J52="",0,1)</f>
        <v>0</v>
      </c>
      <c r="AA63">
        <f t="shared" si="6"/>
        <v>0</v>
      </c>
    </row>
    <row r="64" spans="1:31" ht="16.5" customHeight="1" x14ac:dyDescent="0.3">
      <c r="A64" s="52"/>
      <c r="B64" s="148"/>
      <c r="C64" s="85"/>
      <c r="D64" s="52"/>
      <c r="E64" s="149"/>
      <c r="F64" s="85"/>
      <c r="G64" s="88"/>
      <c r="H64" s="88"/>
      <c r="L64" s="23"/>
      <c r="M64" s="111"/>
      <c r="U64" s="85">
        <f>V53+W53*AA64+K54+I54</f>
        <v>0</v>
      </c>
      <c r="W64">
        <f>IF(C54="",0,1)</f>
        <v>0</v>
      </c>
      <c r="X64">
        <f>IF(J54="",0,1)</f>
        <v>0</v>
      </c>
      <c r="AA64">
        <f t="shared" si="6"/>
        <v>0</v>
      </c>
    </row>
    <row r="65" spans="1:21" ht="16.5" customHeight="1" x14ac:dyDescent="0.3">
      <c r="A65" s="52"/>
      <c r="B65" s="56"/>
      <c r="C65" s="57"/>
      <c r="D65" s="106"/>
      <c r="E65" s="149"/>
      <c r="F65" s="85"/>
      <c r="G65" s="53"/>
      <c r="H65" s="53"/>
      <c r="L65" s="23"/>
      <c r="M65" s="111" t="s">
        <v>76</v>
      </c>
      <c r="U65" s="86">
        <f>SUM(U57:U64)</f>
        <v>258</v>
      </c>
    </row>
    <row r="66" spans="1:21" ht="16.5" customHeight="1" x14ac:dyDescent="0.3">
      <c r="A66" s="52"/>
      <c r="B66" s="150" t="s">
        <v>93</v>
      </c>
      <c r="C66" s="151" t="s">
        <v>123</v>
      </c>
      <c r="D66" s="23"/>
      <c r="E66" s="149"/>
      <c r="F66" s="85"/>
      <c r="G66" s="53"/>
      <c r="H66" s="53"/>
      <c r="I66" s="270" t="s">
        <v>48</v>
      </c>
      <c r="J66" s="270"/>
      <c r="K66" s="270"/>
      <c r="L66" s="271"/>
      <c r="M66" s="111"/>
      <c r="U66" s="85"/>
    </row>
    <row r="67" spans="1:21" ht="16.5" customHeight="1" x14ac:dyDescent="0.25">
      <c r="B67" s="59"/>
      <c r="C67" s="72"/>
      <c r="D67" s="107"/>
      <c r="E67" s="149"/>
      <c r="F67" s="85"/>
      <c r="G67" s="53"/>
      <c r="H67" s="53"/>
      <c r="I67" s="53"/>
      <c r="J67" s="53"/>
      <c r="K67" s="71"/>
      <c r="L67" s="105"/>
      <c r="M67" s="267" t="s">
        <v>90</v>
      </c>
      <c r="U67" s="85"/>
    </row>
    <row r="68" spans="1:21" ht="16.5" customHeight="1" x14ac:dyDescent="0.25">
      <c r="C68" s="52"/>
      <c r="D68" s="51"/>
      <c r="E68" s="51"/>
      <c r="I68" s="53"/>
      <c r="M68" s="267"/>
      <c r="U68" s="85"/>
    </row>
    <row r="69" spans="1:21" ht="16.5" customHeight="1" x14ac:dyDescent="0.25">
      <c r="A69" s="22"/>
      <c r="B69" s="92"/>
      <c r="C69" s="92"/>
      <c r="D69" s="92"/>
      <c r="I69" s="53"/>
      <c r="M69" s="267"/>
      <c r="U69" s="85"/>
    </row>
    <row r="70" spans="1:21" ht="16.5" customHeight="1" x14ac:dyDescent="0.25">
      <c r="E70" s="51"/>
      <c r="G70" s="53"/>
      <c r="H70" s="53"/>
      <c r="I70" s="53"/>
      <c r="M70" s="267"/>
      <c r="U70" s="85"/>
    </row>
    <row r="71" spans="1:21" ht="16.2" thickBot="1" x14ac:dyDescent="0.3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/>
      <c r="M71" s="111"/>
      <c r="U71" s="85"/>
    </row>
    <row r="72" spans="1:21" x14ac:dyDescent="0.25">
      <c r="U72" s="85"/>
    </row>
    <row r="73" spans="1:21" x14ac:dyDescent="0.25">
      <c r="U73" s="85"/>
    </row>
    <row r="74" spans="1:21" x14ac:dyDescent="0.25">
      <c r="U74" s="85"/>
    </row>
    <row r="75" spans="1:21" x14ac:dyDescent="0.25">
      <c r="U75" s="85"/>
    </row>
  </sheetData>
  <sheetProtection sheet="1" objects="1" scenarios="1" selectLockedCells="1"/>
  <mergeCells count="133"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Michaela Ježdíková</cp:lastModifiedBy>
  <cp:lastPrinted>2017-07-11T10:51:30Z</cp:lastPrinted>
  <dcterms:created xsi:type="dcterms:W3CDTF">2012-01-06T09:08:40Z</dcterms:created>
  <dcterms:modified xsi:type="dcterms:W3CDTF">2024-02-13T20:43:47Z</dcterms:modified>
</cp:coreProperties>
</file>